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35.xml" ContentType="application/vnd.openxmlformats-officedocument.spreadsheetml.worksheet+xml"/>
  <Override PartName="/xl/worksheets/sheet4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4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43.xml" ContentType="application/vnd.openxmlformats-officedocument.spreadsheetml.worksheet+xml"/>
  <Default Extension="bin" ContentType="application/vnd.openxmlformats-officedocument.spreadsheetml.printerSettings"/>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workbookProtection lockStructure="1"/>
  <bookViews>
    <workbookView xWindow="-15" yWindow="45" windowWidth="9630" windowHeight="1125" tabRatio="908" activeTab="4"/>
  </bookViews>
  <sheets>
    <sheet name="Instructions" sheetId="1" r:id="rId1"/>
    <sheet name="inputPrYr" sheetId="2" r:id="rId2"/>
    <sheet name="inputOth" sheetId="43" r:id="rId3"/>
    <sheet name="inputBudSum" sheetId="52" r:id="rId4"/>
    <sheet name="cert" sheetId="3" r:id="rId5"/>
    <sheet name="computation" sheetId="24" r:id="rId6"/>
    <sheet name="mvalloc" sheetId="5" r:id="rId7"/>
    <sheet name="transfers" sheetId="32" r:id="rId8"/>
    <sheet name="TransferStatutes" sheetId="46" r:id="rId9"/>
    <sheet name="debt" sheetId="22" r:id="rId10"/>
    <sheet name="lpform" sheetId="23" r:id="rId11"/>
    <sheet name="Library Grant " sheetId="58" r:id="rId12"/>
    <sheet name="general" sheetId="7" r:id="rId13"/>
    <sheet name="GenDetail " sheetId="9" r:id="rId14"/>
    <sheet name="DebtSvs" sheetId="34" r:id="rId15"/>
    <sheet name="Library" sheetId="66" r:id="rId16"/>
    <sheet name="Aquatic Sales Co Infra" sheetId="15" r:id="rId17"/>
    <sheet name="Con Tour Drug Alcohol" sheetId="16" r:id="rId18"/>
    <sheet name="ED EMS Capital" sheetId="17" r:id="rId19"/>
    <sheet name="EMS Library Sales" sheetId="18" r:id="rId20"/>
    <sheet name="Park Ded Rec Programs" sheetId="19" r:id="rId21"/>
    <sheet name="Risk Mgmt Sen Ctr" sheetId="54" r:id="rId22"/>
    <sheet name="Sidewalk Soccer" sheetId="64" r:id="rId23"/>
    <sheet name="Spec Parks Streets" sheetId="63" r:id="rId24"/>
    <sheet name="Ball Pool" sheetId="62" r:id="rId25"/>
    <sheet name="Tiblow TIF Develop" sheetId="61" r:id="rId26"/>
    <sheet name="TIF Increment CID Develop" sheetId="60" r:id="rId27"/>
    <sheet name="Center CID Ctr City Contrib" sheetId="65" r:id="rId28"/>
    <sheet name="Solid Waste Storm" sheetId="35" r:id="rId29"/>
    <sheet name="Waste Water" sheetId="36" r:id="rId30"/>
    <sheet name="Water" sheetId="38" r:id="rId31"/>
    <sheet name="NonBudA" sheetId="39" r:id="rId32"/>
    <sheet name="NonBudFunds" sheetId="45" r:id="rId33"/>
    <sheet name="summ" sheetId="21" r:id="rId34"/>
    <sheet name="nhood" sheetId="44" r:id="rId35"/>
    <sheet name="ordinance" sheetId="33" r:id="rId36"/>
    <sheet name="Tab A" sheetId="47" r:id="rId37"/>
    <sheet name="Tab B" sheetId="48" r:id="rId38"/>
    <sheet name="Tab C" sheetId="49" r:id="rId39"/>
    <sheet name="Tab D" sheetId="53" r:id="rId40"/>
    <sheet name="Tab E" sheetId="51" r:id="rId41"/>
    <sheet name="Mill Rate Computation" sheetId="56" r:id="rId42"/>
    <sheet name="Helpful Links" sheetId="57" r:id="rId43"/>
    <sheet name="legend" sheetId="25" r:id="rId44"/>
  </sheets>
  <definedNames>
    <definedName name="_xlnm.Print_Area" localSheetId="14">DebtSvs!$B$1:$E$91</definedName>
    <definedName name="_xlnm.Print_Area" localSheetId="13">'GenDetail '!$A$1:$D$125</definedName>
    <definedName name="_xlnm.Print_Area" localSheetId="12">general!$B$1:$E$88</definedName>
    <definedName name="_xlnm.Print_Area" localSheetId="1">inputPrYr!$A$1:$E$125</definedName>
    <definedName name="_xlnm.Print_Area" localSheetId="11">'Library Grant '!$A$1:$J$40</definedName>
    <definedName name="_xlnm.Print_Area" localSheetId="10">lpform!$B$1:$I$38</definedName>
    <definedName name="_xlnm.Print_Area" localSheetId="41">'Mill Rate Computation'!$B$4:$K$144</definedName>
    <definedName name="_xlnm.Print_Area" localSheetId="33">summ!$A$1:$H$65</definedName>
  </definedNames>
  <calcPr calcId="125725"/>
</workbook>
</file>

<file path=xl/calcChain.xml><?xml version="1.0" encoding="utf-8"?>
<calcChain xmlns="http://schemas.openxmlformats.org/spreadsheetml/2006/main">
  <c r="D24" i="2"/>
  <c r="B44" i="21" l="1"/>
  <c r="D38" i="32"/>
  <c r="E38"/>
  <c r="C38"/>
  <c r="D10" i="9" l="1"/>
  <c r="C118"/>
  <c r="D118"/>
  <c r="E70" i="7" s="1"/>
  <c r="B118" i="9"/>
  <c r="D77" i="7"/>
  <c r="E77"/>
  <c r="C77"/>
  <c r="D70"/>
  <c r="C70"/>
  <c r="C121" i="9"/>
  <c r="B121"/>
  <c r="C120"/>
  <c r="D120"/>
  <c r="B120"/>
  <c r="E13" i="32"/>
  <c r="D13"/>
  <c r="C13"/>
  <c r="D48" i="3" l="1"/>
  <c r="D47"/>
  <c r="D46"/>
  <c r="D45"/>
  <c r="D44"/>
  <c r="D43"/>
  <c r="D42"/>
  <c r="D41"/>
  <c r="D40"/>
  <c r="D39"/>
  <c r="D38"/>
  <c r="D37"/>
  <c r="D36"/>
  <c r="D35"/>
  <c r="D34"/>
  <c r="D33"/>
  <c r="D32"/>
  <c r="D31"/>
  <c r="D30"/>
  <c r="D29"/>
  <c r="D28"/>
  <c r="D27"/>
  <c r="D26"/>
  <c r="D25"/>
  <c r="D52" i="21"/>
  <c r="B52"/>
  <c r="F19"/>
  <c r="D19"/>
  <c r="B19"/>
  <c r="F18"/>
  <c r="D18"/>
  <c r="B18"/>
  <c r="F43"/>
  <c r="D43"/>
  <c r="B43"/>
  <c r="F42"/>
  <c r="D42"/>
  <c r="B42"/>
  <c r="F41"/>
  <c r="D41"/>
  <c r="B41"/>
  <c r="F40"/>
  <c r="D40"/>
  <c r="B40"/>
  <c r="F39"/>
  <c r="D39"/>
  <c r="B39"/>
  <c r="F38"/>
  <c r="D38"/>
  <c r="B38"/>
  <c r="F37"/>
  <c r="D37"/>
  <c r="B37"/>
  <c r="F36"/>
  <c r="D36"/>
  <c r="B36"/>
  <c r="D34"/>
  <c r="B34"/>
  <c r="D33"/>
  <c r="B33"/>
  <c r="F32"/>
  <c r="D32"/>
  <c r="B32"/>
  <c r="F31"/>
  <c r="D31"/>
  <c r="B31"/>
  <c r="F30"/>
  <c r="D30"/>
  <c r="B30"/>
  <c r="F29"/>
  <c r="D29"/>
  <c r="B29"/>
  <c r="F28"/>
  <c r="D28"/>
  <c r="B28"/>
  <c r="F27"/>
  <c r="D27"/>
  <c r="B27"/>
  <c r="F26"/>
  <c r="D26"/>
  <c r="B26"/>
  <c r="F25"/>
  <c r="D25"/>
  <c r="B25"/>
  <c r="F24"/>
  <c r="D24"/>
  <c r="B24"/>
  <c r="F23"/>
  <c r="D23"/>
  <c r="B23"/>
  <c r="F22"/>
  <c r="D22"/>
  <c r="B22"/>
  <c r="F21"/>
  <c r="D21"/>
  <c r="B21"/>
  <c r="F20"/>
  <c r="D20"/>
  <c r="B20"/>
  <c r="F17"/>
  <c r="D17"/>
  <c r="B17"/>
  <c r="F16"/>
  <c r="D16"/>
  <c r="B16"/>
  <c r="A3"/>
  <c r="B15" l="1"/>
  <c r="D24" i="3"/>
  <c r="D23"/>
  <c r="D22"/>
  <c r="D21"/>
  <c r="D20"/>
  <c r="D19"/>
  <c r="D18"/>
  <c r="E29"/>
  <c r="E33"/>
  <c r="E35"/>
  <c r="E34"/>
  <c r="E47"/>
  <c r="E41"/>
  <c r="F26"/>
  <c r="F27"/>
  <c r="F28"/>
  <c r="F29"/>
  <c r="F30"/>
  <c r="F31"/>
  <c r="F32"/>
  <c r="F33"/>
  <c r="F34"/>
  <c r="F35"/>
  <c r="F36"/>
  <c r="F40"/>
  <c r="F41"/>
  <c r="F42"/>
  <c r="F43"/>
  <c r="F45"/>
  <c r="F25"/>
  <c r="F24"/>
  <c r="F23"/>
  <c r="F44"/>
  <c r="F46"/>
  <c r="F47"/>
  <c r="F22"/>
  <c r="F20"/>
  <c r="E18" i="32"/>
  <c r="D18"/>
  <c r="C19"/>
  <c r="C39" s="1"/>
  <c r="E17"/>
  <c r="D17"/>
  <c r="D19" l="1"/>
  <c r="D39" s="1"/>
  <c r="E19"/>
  <c r="E39"/>
  <c r="D65" i="60" l="1"/>
  <c r="C65"/>
  <c r="D37" i="38" l="1"/>
  <c r="C37"/>
  <c r="D39" i="36"/>
  <c r="C39"/>
  <c r="D57" i="35"/>
  <c r="C57"/>
  <c r="D28"/>
  <c r="C28"/>
  <c r="D65" i="65"/>
  <c r="C65"/>
  <c r="D32"/>
  <c r="C32"/>
  <c r="D32" i="60"/>
  <c r="C32"/>
  <c r="D66" i="61"/>
  <c r="C66"/>
  <c r="D33"/>
  <c r="C33"/>
  <c r="D32" i="64"/>
  <c r="C32"/>
  <c r="D65" i="54"/>
  <c r="C65"/>
  <c r="D32"/>
  <c r="C32"/>
  <c r="D65" i="18"/>
  <c r="C65"/>
  <c r="D32"/>
  <c r="C32"/>
  <c r="D65" i="17"/>
  <c r="C65"/>
  <c r="D32"/>
  <c r="C32"/>
  <c r="D65" i="16"/>
  <c r="C65"/>
  <c r="D32"/>
  <c r="C32"/>
  <c r="D65" i="15"/>
  <c r="C65"/>
  <c r="D32"/>
  <c r="C32"/>
  <c r="D41" i="66"/>
  <c r="D37"/>
  <c r="C37"/>
  <c r="D35"/>
  <c r="C35"/>
  <c r="C93" s="1"/>
  <c r="J69"/>
  <c r="J68"/>
  <c r="J67"/>
  <c r="C22"/>
  <c r="C21" s="1"/>
  <c r="D22"/>
  <c r="D21" s="1"/>
  <c r="B6"/>
  <c r="H35"/>
  <c r="C91"/>
  <c r="J29"/>
  <c r="J28"/>
  <c r="J27"/>
  <c r="E1"/>
  <c r="H79" s="1"/>
  <c r="B1"/>
  <c r="D34" l="1"/>
  <c r="D15" i="21"/>
  <c r="E19" i="3"/>
  <c r="G38" i="66"/>
  <c r="G78"/>
  <c r="C23"/>
  <c r="C36" s="1"/>
  <c r="D7" s="1"/>
  <c r="D23" s="1"/>
  <c r="D36" s="1"/>
  <c r="G33" s="1"/>
  <c r="C34"/>
  <c r="F36"/>
  <c r="D92"/>
  <c r="C94"/>
  <c r="H39"/>
  <c r="G28"/>
  <c r="G31"/>
  <c r="H33"/>
  <c r="H34"/>
  <c r="G68"/>
  <c r="G71"/>
  <c r="H73"/>
  <c r="H74"/>
  <c r="C42"/>
  <c r="H83"/>
  <c r="H85"/>
  <c r="H36"/>
  <c r="H44"/>
  <c r="H45"/>
  <c r="B37"/>
  <c r="H75"/>
  <c r="H76"/>
  <c r="D91"/>
  <c r="D93"/>
  <c r="B39" s="1"/>
  <c r="G24"/>
  <c r="G64"/>
  <c r="H84"/>
  <c r="H86"/>
  <c r="C92"/>
  <c r="H38"/>
  <c r="H43"/>
  <c r="H46"/>
  <c r="H78"/>
  <c r="C26" i="19"/>
  <c r="D26"/>
  <c r="D60" i="62"/>
  <c r="C60"/>
  <c r="D59" i="64"/>
  <c r="C59"/>
  <c r="D25" i="62"/>
  <c r="C25"/>
  <c r="D59" i="19"/>
  <c r="C59"/>
  <c r="D53" i="63"/>
  <c r="C53"/>
  <c r="D24"/>
  <c r="C24"/>
  <c r="B5" i="38"/>
  <c r="B5" i="36"/>
  <c r="B33" i="35"/>
  <c r="E55"/>
  <c r="E54" s="1"/>
  <c r="D55"/>
  <c r="D54" s="1"/>
  <c r="C55"/>
  <c r="C54" s="1"/>
  <c r="E43"/>
  <c r="E42" s="1"/>
  <c r="D43"/>
  <c r="D42" s="1"/>
  <c r="C43"/>
  <c r="C42" s="1"/>
  <c r="B5"/>
  <c r="B38" i="65"/>
  <c r="B5"/>
  <c r="D66"/>
  <c r="E63"/>
  <c r="D63"/>
  <c r="D62" s="1"/>
  <c r="C63"/>
  <c r="E62"/>
  <c r="E49"/>
  <c r="E48" s="1"/>
  <c r="D49"/>
  <c r="D48" s="1"/>
  <c r="C49"/>
  <c r="C50" s="1"/>
  <c r="C64" s="1"/>
  <c r="E30"/>
  <c r="E29" s="1"/>
  <c r="D30"/>
  <c r="D29" s="1"/>
  <c r="C30"/>
  <c r="C33" s="1"/>
  <c r="E16"/>
  <c r="E15" s="1"/>
  <c r="D16"/>
  <c r="D15" s="1"/>
  <c r="C16"/>
  <c r="C15" s="1"/>
  <c r="E1"/>
  <c r="B65" s="1"/>
  <c r="B1"/>
  <c r="B38" i="60"/>
  <c r="B5"/>
  <c r="B39" i="61"/>
  <c r="B5"/>
  <c r="B28" i="62"/>
  <c r="B5"/>
  <c r="B30" i="63"/>
  <c r="B5"/>
  <c r="B38" i="64"/>
  <c r="B5"/>
  <c r="B38" i="54"/>
  <c r="B5"/>
  <c r="E63" i="60"/>
  <c r="E62" s="1"/>
  <c r="D63"/>
  <c r="D62" s="1"/>
  <c r="C63"/>
  <c r="E49"/>
  <c r="E48" s="1"/>
  <c r="D49"/>
  <c r="D48" s="1"/>
  <c r="C49"/>
  <c r="C50" s="1"/>
  <c r="E30"/>
  <c r="E29" s="1"/>
  <c r="D30"/>
  <c r="D29" s="1"/>
  <c r="C30"/>
  <c r="C33" s="1"/>
  <c r="E16"/>
  <c r="E15" s="1"/>
  <c r="D16"/>
  <c r="D15" s="1"/>
  <c r="C16"/>
  <c r="C17" s="1"/>
  <c r="C31" s="1"/>
  <c r="E1"/>
  <c r="B65" s="1"/>
  <c r="B1"/>
  <c r="E64" i="61"/>
  <c r="D64"/>
  <c r="D67" s="1"/>
  <c r="C64"/>
  <c r="B35" i="21" s="1"/>
  <c r="E50" i="61"/>
  <c r="E49" s="1"/>
  <c r="D50"/>
  <c r="D49" s="1"/>
  <c r="C50"/>
  <c r="C51" s="1"/>
  <c r="C65" s="1"/>
  <c r="E31"/>
  <c r="D31"/>
  <c r="D30" s="1"/>
  <c r="C31"/>
  <c r="C34" s="1"/>
  <c r="E17"/>
  <c r="E16" s="1"/>
  <c r="D17"/>
  <c r="D16" s="1"/>
  <c r="C17"/>
  <c r="C16" s="1"/>
  <c r="D5"/>
  <c r="D39" s="1"/>
  <c r="E1"/>
  <c r="B66" s="1"/>
  <c r="B1"/>
  <c r="E58" i="62"/>
  <c r="D58"/>
  <c r="D57" s="1"/>
  <c r="C58"/>
  <c r="E49"/>
  <c r="E48" s="1"/>
  <c r="D49"/>
  <c r="D48" s="1"/>
  <c r="C49"/>
  <c r="C50" s="1"/>
  <c r="C59" s="1"/>
  <c r="E23"/>
  <c r="D23"/>
  <c r="D22" s="1"/>
  <c r="C23"/>
  <c r="E22"/>
  <c r="E14"/>
  <c r="E13" s="1"/>
  <c r="D14"/>
  <c r="D13" s="1"/>
  <c r="C14"/>
  <c r="C15" s="1"/>
  <c r="E1"/>
  <c r="B60" s="1"/>
  <c r="B1"/>
  <c r="E51" i="63"/>
  <c r="E50" s="1"/>
  <c r="D51"/>
  <c r="D50" s="1"/>
  <c r="C51"/>
  <c r="E41"/>
  <c r="E40" s="1"/>
  <c r="D41"/>
  <c r="D40" s="1"/>
  <c r="C41"/>
  <c r="C42" s="1"/>
  <c r="E22"/>
  <c r="E21" s="1"/>
  <c r="D22"/>
  <c r="D21" s="1"/>
  <c r="C22"/>
  <c r="E14"/>
  <c r="E13" s="1"/>
  <c r="D14"/>
  <c r="D13" s="1"/>
  <c r="C14"/>
  <c r="C15" s="1"/>
  <c r="D5"/>
  <c r="D30" s="1"/>
  <c r="E1"/>
  <c r="B53" s="1"/>
  <c r="B1"/>
  <c r="E57" i="64"/>
  <c r="E56" s="1"/>
  <c r="D57"/>
  <c r="D56" s="1"/>
  <c r="C57"/>
  <c r="E46"/>
  <c r="E45" s="1"/>
  <c r="D46"/>
  <c r="D45" s="1"/>
  <c r="C46"/>
  <c r="C47" s="1"/>
  <c r="E30"/>
  <c r="E29" s="1"/>
  <c r="D30"/>
  <c r="D29" s="1"/>
  <c r="C30"/>
  <c r="E16"/>
  <c r="E15" s="1"/>
  <c r="D16"/>
  <c r="D15" s="1"/>
  <c r="C16"/>
  <c r="C17" s="1"/>
  <c r="E1"/>
  <c r="B59" s="1"/>
  <c r="B1"/>
  <c r="B32" i="19"/>
  <c r="B5"/>
  <c r="B38" i="18"/>
  <c r="B5"/>
  <c r="B38" i="17"/>
  <c r="B5"/>
  <c r="B38" i="16"/>
  <c r="B5"/>
  <c r="B38" i="15"/>
  <c r="B5"/>
  <c r="B61" i="7"/>
  <c r="B70"/>
  <c r="D5" i="60" l="1"/>
  <c r="D38" s="1"/>
  <c r="D5" i="65"/>
  <c r="D38" s="1"/>
  <c r="C5" i="60"/>
  <c r="C38" s="1"/>
  <c r="C5" i="65"/>
  <c r="C38" s="1"/>
  <c r="E57" i="62"/>
  <c r="F33" i="21"/>
  <c r="F37" i="3"/>
  <c r="E30" i="61"/>
  <c r="F34" i="21"/>
  <c r="F38" i="3"/>
  <c r="F35" i="21"/>
  <c r="F39" i="3"/>
  <c r="E63" i="61"/>
  <c r="D63"/>
  <c r="D35" i="21"/>
  <c r="D34" i="61"/>
  <c r="C5"/>
  <c r="C39" s="1"/>
  <c r="C5" i="63"/>
  <c r="C30" s="1"/>
  <c r="C31" i="64"/>
  <c r="C64" i="60"/>
  <c r="D66"/>
  <c r="D33" i="65"/>
  <c r="D33" i="60"/>
  <c r="D94" i="66"/>
  <c r="B40" s="1"/>
  <c r="E7"/>
  <c r="G73"/>
  <c r="C67" i="61"/>
  <c r="C66" i="60"/>
  <c r="C66" i="65"/>
  <c r="C24" i="62"/>
  <c r="D6" s="1"/>
  <c r="D15" s="1"/>
  <c r="D24" s="1"/>
  <c r="C61"/>
  <c r="C58" i="64"/>
  <c r="D39" s="1"/>
  <c r="D47" s="1"/>
  <c r="D58" s="1"/>
  <c r="D5"/>
  <c r="D38" s="1"/>
  <c r="C33"/>
  <c r="D33"/>
  <c r="D60"/>
  <c r="C5"/>
  <c r="C38" s="1"/>
  <c r="C60"/>
  <c r="C5" i="62"/>
  <c r="C28" s="1"/>
  <c r="D61"/>
  <c r="D5"/>
  <c r="D28" s="1"/>
  <c r="C54" i="63"/>
  <c r="C23"/>
  <c r="D6" s="1"/>
  <c r="D15" s="1"/>
  <c r="D23" s="1"/>
  <c r="C52"/>
  <c r="D31" s="1"/>
  <c r="D42" s="1"/>
  <c r="D52" s="1"/>
  <c r="D54"/>
  <c r="C25"/>
  <c r="D25"/>
  <c r="C44" i="35"/>
  <c r="C56" s="1"/>
  <c r="D34" s="1"/>
  <c r="D44" s="1"/>
  <c r="D56" s="1"/>
  <c r="E34" s="1"/>
  <c r="E44" s="1"/>
  <c r="E56" s="1"/>
  <c r="E57" s="1"/>
  <c r="C67" i="65"/>
  <c r="D39"/>
  <c r="D50" s="1"/>
  <c r="D64" s="1"/>
  <c r="C48"/>
  <c r="E5"/>
  <c r="E38" s="1"/>
  <c r="C29"/>
  <c r="C62"/>
  <c r="C17"/>
  <c r="C31" s="1"/>
  <c r="B32"/>
  <c r="D39" i="60"/>
  <c r="D50" s="1"/>
  <c r="D64" s="1"/>
  <c r="C67"/>
  <c r="D6"/>
  <c r="D17" s="1"/>
  <c r="D31" s="1"/>
  <c r="C34"/>
  <c r="C15"/>
  <c r="C48"/>
  <c r="E5"/>
  <c r="E38" s="1"/>
  <c r="C29"/>
  <c r="C62"/>
  <c r="B32"/>
  <c r="D40" i="61"/>
  <c r="D51" s="1"/>
  <c r="D65" s="1"/>
  <c r="C68"/>
  <c r="C49"/>
  <c r="E5"/>
  <c r="E39" s="1"/>
  <c r="C30"/>
  <c r="C63"/>
  <c r="C18"/>
  <c r="C32" s="1"/>
  <c r="B33"/>
  <c r="D29" i="62"/>
  <c r="D50" s="1"/>
  <c r="D59" s="1"/>
  <c r="C62"/>
  <c r="C13"/>
  <c r="C48"/>
  <c r="E5"/>
  <c r="E28" s="1"/>
  <c r="C22"/>
  <c r="C57"/>
  <c r="B25"/>
  <c r="C13" i="63"/>
  <c r="C40"/>
  <c r="E5"/>
  <c r="E30" s="1"/>
  <c r="C21"/>
  <c r="C50"/>
  <c r="B24"/>
  <c r="D6" i="64"/>
  <c r="D17" s="1"/>
  <c r="D31" s="1"/>
  <c r="C34"/>
  <c r="C15"/>
  <c r="C45"/>
  <c r="E5"/>
  <c r="E38" s="1"/>
  <c r="C29"/>
  <c r="C56"/>
  <c r="B32"/>
  <c r="D58" i="9"/>
  <c r="E61" i="7" s="1"/>
  <c r="C58" i="9"/>
  <c r="D61" i="7" s="1"/>
  <c r="B58" i="9"/>
  <c r="C61" i="7" s="1"/>
  <c r="C61" i="64" l="1"/>
  <c r="C26" i="63"/>
  <c r="C55"/>
  <c r="D6" i="65"/>
  <c r="D17" s="1"/>
  <c r="D31" s="1"/>
  <c r="C34"/>
  <c r="E39"/>
  <c r="E50" s="1"/>
  <c r="E65" s="1"/>
  <c r="D67"/>
  <c r="D34" i="60"/>
  <c r="E6"/>
  <c r="E17" s="1"/>
  <c r="E31" s="1"/>
  <c r="E32" s="1"/>
  <c r="E39"/>
  <c r="E50" s="1"/>
  <c r="E64" s="1"/>
  <c r="E65" s="1"/>
  <c r="D67"/>
  <c r="D6" i="61"/>
  <c r="D18" s="1"/>
  <c r="D32" s="1"/>
  <c r="C35"/>
  <c r="E40"/>
  <c r="E51" s="1"/>
  <c r="E65" s="1"/>
  <c r="E66" s="1"/>
  <c r="D68"/>
  <c r="E6" i="62"/>
  <c r="E15" s="1"/>
  <c r="E24" s="1"/>
  <c r="E25" s="1"/>
  <c r="E29"/>
  <c r="E50" s="1"/>
  <c r="E59" s="1"/>
  <c r="E60" s="1"/>
  <c r="D62"/>
  <c r="E6" i="63"/>
  <c r="E15" s="1"/>
  <c r="E23" s="1"/>
  <c r="E24" s="1"/>
  <c r="D26"/>
  <c r="E31"/>
  <c r="E42" s="1"/>
  <c r="E52" s="1"/>
  <c r="E53" s="1"/>
  <c r="D55"/>
  <c r="D34" i="64"/>
  <c r="E6"/>
  <c r="E17" s="1"/>
  <c r="E31" s="1"/>
  <c r="E32" s="1"/>
  <c r="E39"/>
  <c r="E47" s="1"/>
  <c r="E58" s="1"/>
  <c r="E59" s="1"/>
  <c r="D61"/>
  <c r="B36" i="3"/>
  <c r="B37"/>
  <c r="B38"/>
  <c r="B39"/>
  <c r="B40"/>
  <c r="B41"/>
  <c r="B42"/>
  <c r="B43"/>
  <c r="B44"/>
  <c r="B45"/>
  <c r="B46"/>
  <c r="B47"/>
  <c r="B48"/>
  <c r="B21"/>
  <c r="B22"/>
  <c r="B23"/>
  <c r="B24"/>
  <c r="B25"/>
  <c r="B26"/>
  <c r="B27"/>
  <c r="B28"/>
  <c r="B29"/>
  <c r="B30"/>
  <c r="B31"/>
  <c r="B32"/>
  <c r="B33"/>
  <c r="B34"/>
  <c r="B35"/>
  <c r="A100" i="43"/>
  <c r="A101"/>
  <c r="A102"/>
  <c r="A103"/>
  <c r="A104"/>
  <c r="A92"/>
  <c r="A93"/>
  <c r="A94"/>
  <c r="A95"/>
  <c r="A96"/>
  <c r="A97"/>
  <c r="A98"/>
  <c r="A99"/>
  <c r="A76"/>
  <c r="A77"/>
  <c r="A78"/>
  <c r="A79"/>
  <c r="A80"/>
  <c r="A81"/>
  <c r="A82"/>
  <c r="A83"/>
  <c r="A84"/>
  <c r="A85"/>
  <c r="A86"/>
  <c r="A87"/>
  <c r="A88"/>
  <c r="A89"/>
  <c r="A90"/>
  <c r="A91"/>
  <c r="E6" i="65" l="1"/>
  <c r="E17" s="1"/>
  <c r="E31" s="1"/>
  <c r="E32" s="1"/>
  <c r="D34"/>
  <c r="D35" i="61"/>
  <c r="E6"/>
  <c r="E18" s="1"/>
  <c r="E32" s="1"/>
  <c r="E33" s="1"/>
  <c r="D34" i="43"/>
  <c r="A38"/>
  <c r="A39"/>
  <c r="A40"/>
  <c r="A41"/>
  <c r="A42" i="21" l="1"/>
  <c r="A43"/>
  <c r="A44"/>
  <c r="A35"/>
  <c r="A36"/>
  <c r="A37"/>
  <c r="A38"/>
  <c r="A39"/>
  <c r="A40"/>
  <c r="A41"/>
  <c r="A17"/>
  <c r="A18"/>
  <c r="A19"/>
  <c r="A20"/>
  <c r="A21"/>
  <c r="A22"/>
  <c r="A23"/>
  <c r="A24"/>
  <c r="A25"/>
  <c r="A26"/>
  <c r="A27"/>
  <c r="A28"/>
  <c r="A29"/>
  <c r="A30"/>
  <c r="A31"/>
  <c r="A32"/>
  <c r="A33"/>
  <c r="A34"/>
  <c r="D64" i="2"/>
  <c r="D29" i="34" l="1"/>
  <c r="D28" s="1"/>
  <c r="D41" i="7"/>
  <c r="D40" s="1"/>
  <c r="J38" i="34"/>
  <c r="J37"/>
  <c r="B19" i="58"/>
  <c r="B18"/>
  <c r="B17"/>
  <c r="B16"/>
  <c r="B15"/>
  <c r="G24" i="2"/>
  <c r="G22"/>
  <c r="G23"/>
  <c r="B15" i="3"/>
  <c r="D15"/>
  <c r="J148" i="56"/>
  <c r="H134"/>
  <c r="C137" s="1"/>
  <c r="J137" s="1"/>
  <c r="C123"/>
  <c r="H120"/>
  <c r="H114"/>
  <c r="F117"/>
  <c r="H117" s="1"/>
  <c r="F123" s="1"/>
  <c r="H100"/>
  <c r="C103"/>
  <c r="H94"/>
  <c r="F97" s="1"/>
  <c r="H97" s="1"/>
  <c r="F103" s="1"/>
  <c r="C83"/>
  <c r="H80"/>
  <c r="H74"/>
  <c r="F77"/>
  <c r="H77" s="1"/>
  <c r="F83" s="1"/>
  <c r="F50"/>
  <c r="J50"/>
  <c r="H48"/>
  <c r="H41"/>
  <c r="B28"/>
  <c r="H28"/>
  <c r="H25"/>
  <c r="C25"/>
  <c r="A60" i="21"/>
  <c r="A61"/>
  <c r="A5"/>
  <c r="G20" i="52"/>
  <c r="G21" s="1"/>
  <c r="G19" s="1"/>
  <c r="A57" i="43"/>
  <c r="A15" i="21"/>
  <c r="B18" i="44"/>
  <c r="B17"/>
  <c r="B16"/>
  <c r="B15"/>
  <c r="B14"/>
  <c r="B13"/>
  <c r="B12"/>
  <c r="B11"/>
  <c r="B10"/>
  <c r="B9"/>
  <c r="B8"/>
  <c r="D44" i="7"/>
  <c r="D17" i="3" s="1"/>
  <c r="C10" i="5"/>
  <c r="B10"/>
  <c r="A75" i="43"/>
  <c r="A31"/>
  <c r="B95" i="2"/>
  <c r="B19" i="3"/>
  <c r="C19"/>
  <c r="E19" i="58"/>
  <c r="E18"/>
  <c r="E17"/>
  <c r="E16"/>
  <c r="G19"/>
  <c r="G14"/>
  <c r="B78" s="1"/>
  <c r="E14"/>
  <c r="B89" s="1"/>
  <c r="B8"/>
  <c r="B7"/>
  <c r="B5"/>
  <c r="D64" i="9"/>
  <c r="C64"/>
  <c r="B64"/>
  <c r="D56" i="21"/>
  <c r="B56"/>
  <c r="D55"/>
  <c r="B55"/>
  <c r="D54"/>
  <c r="B54"/>
  <c r="D53"/>
  <c r="B53"/>
  <c r="B50"/>
  <c r="B48"/>
  <c r="C19" i="44"/>
  <c r="E26" i="2"/>
  <c r="D48" i="21" s="1"/>
  <c r="C74" i="3"/>
  <c r="D48" i="34"/>
  <c r="C44"/>
  <c r="D44"/>
  <c r="D85" i="7"/>
  <c r="C81"/>
  <c r="D81"/>
  <c r="C57" i="3"/>
  <c r="H17" s="1"/>
  <c r="D97" i="2"/>
  <c r="E63" i="54"/>
  <c r="D63"/>
  <c r="C63"/>
  <c r="C66" s="1"/>
  <c r="E49"/>
  <c r="E48" s="1"/>
  <c r="D49"/>
  <c r="D48" s="1"/>
  <c r="C49"/>
  <c r="C50" s="1"/>
  <c r="E30"/>
  <c r="D30"/>
  <c r="C30"/>
  <c r="E16"/>
  <c r="E15" s="1"/>
  <c r="D16"/>
  <c r="D15" s="1"/>
  <c r="C16"/>
  <c r="C17" s="1"/>
  <c r="E1"/>
  <c r="D5" s="1"/>
  <c r="D38" s="1"/>
  <c r="B1"/>
  <c r="A34" i="48"/>
  <c r="A77" i="47"/>
  <c r="A74"/>
  <c r="A33"/>
  <c r="A28"/>
  <c r="A25"/>
  <c r="A16"/>
  <c r="A6"/>
  <c r="A33" i="48"/>
  <c r="A6"/>
  <c r="A38" i="49"/>
  <c r="A33"/>
  <c r="A19"/>
  <c r="A6"/>
  <c r="A46" i="53"/>
  <c r="A41"/>
  <c r="A6"/>
  <c r="A8" i="51"/>
  <c r="B69" i="7"/>
  <c r="B68"/>
  <c r="B67"/>
  <c r="B66"/>
  <c r="B65"/>
  <c r="B64"/>
  <c r="B63"/>
  <c r="B62"/>
  <c r="B72" i="9"/>
  <c r="C72"/>
  <c r="D72"/>
  <c r="B78"/>
  <c r="C63" i="7" s="1"/>
  <c r="C78" i="9"/>
  <c r="D63" i="7" s="1"/>
  <c r="D78" i="9"/>
  <c r="E63" i="7" s="1"/>
  <c r="B84" i="9"/>
  <c r="C64" i="7" s="1"/>
  <c r="C84" i="9"/>
  <c r="D64" i="7" s="1"/>
  <c r="D84" i="9"/>
  <c r="B90"/>
  <c r="C65" i="7" s="1"/>
  <c r="C90" i="9"/>
  <c r="D65" i="7" s="1"/>
  <c r="D90" i="9"/>
  <c r="E65" i="7" s="1"/>
  <c r="B96" i="9"/>
  <c r="C66" i="7" s="1"/>
  <c r="C96" i="9"/>
  <c r="D66" i="7" s="1"/>
  <c r="D96" i="9"/>
  <c r="E66" i="7" s="1"/>
  <c r="B102" i="9"/>
  <c r="C67" i="7" s="1"/>
  <c r="C102" i="9"/>
  <c r="D67" i="7" s="1"/>
  <c r="D102" i="9"/>
  <c r="E67" i="7" s="1"/>
  <c r="B108" i="9"/>
  <c r="C68" i="7" s="1"/>
  <c r="C108" i="9"/>
  <c r="D68" i="7" s="1"/>
  <c r="D108" i="9"/>
  <c r="E68" i="7" s="1"/>
  <c r="B114" i="9"/>
  <c r="C69" i="7" s="1"/>
  <c r="C114" i="9"/>
  <c r="D69" i="7" s="1"/>
  <c r="D114" i="9"/>
  <c r="E69" i="7" s="1"/>
  <c r="C9" i="5"/>
  <c r="C8"/>
  <c r="J6" i="24"/>
  <c r="A100" i="2"/>
  <c r="A99"/>
  <c r="D91"/>
  <c r="D42" i="43"/>
  <c r="D50" i="21" s="1"/>
  <c r="E27" i="58" s="1"/>
  <c r="D16" i="9"/>
  <c r="E54" i="7" s="1"/>
  <c r="D22" i="9"/>
  <c r="E55" i="7" s="1"/>
  <c r="D28" i="9"/>
  <c r="E56" i="7" s="1"/>
  <c r="D34" i="9"/>
  <c r="E57" i="7" s="1"/>
  <c r="D40" i="9"/>
  <c r="E58" i="7" s="1"/>
  <c r="D46" i="9"/>
  <c r="E59" i="7" s="1"/>
  <c r="D52" i="9"/>
  <c r="E60" i="7" s="1"/>
  <c r="C10" i="9"/>
  <c r="C16"/>
  <c r="D54" i="7" s="1"/>
  <c r="C22" i="9"/>
  <c r="D55" i="7" s="1"/>
  <c r="C28" i="9"/>
  <c r="D56" i="7" s="1"/>
  <c r="C34" i="9"/>
  <c r="D57" i="7" s="1"/>
  <c r="C40" i="9"/>
  <c r="D58" i="7" s="1"/>
  <c r="C46" i="9"/>
  <c r="D59" i="7" s="1"/>
  <c r="C52" i="9"/>
  <c r="D60" i="7" s="1"/>
  <c r="B10" i="9"/>
  <c r="B16"/>
  <c r="C54" i="7" s="1"/>
  <c r="B22" i="9"/>
  <c r="C55" i="7" s="1"/>
  <c r="B28" i="9"/>
  <c r="C56" i="7" s="1"/>
  <c r="B34" i="9"/>
  <c r="C57" i="7" s="1"/>
  <c r="B40" i="9"/>
  <c r="C58" i="7" s="1"/>
  <c r="B46" i="9"/>
  <c r="C59" i="7" s="1"/>
  <c r="B52" i="9"/>
  <c r="C60" i="7" s="1"/>
  <c r="B60"/>
  <c r="B59"/>
  <c r="B58"/>
  <c r="B57"/>
  <c r="B56"/>
  <c r="B55"/>
  <c r="B54"/>
  <c r="B53"/>
  <c r="B18" i="3"/>
  <c r="B5" i="34"/>
  <c r="C29"/>
  <c r="C30" s="1"/>
  <c r="C42"/>
  <c r="G47" s="1"/>
  <c r="D42"/>
  <c r="D41" s="1"/>
  <c r="E1"/>
  <c r="G37" s="1"/>
  <c r="C41" i="7"/>
  <c r="C42" s="1"/>
  <c r="C51" s="1"/>
  <c r="E1"/>
  <c r="H90" s="1"/>
  <c r="C35" i="38"/>
  <c r="C34" s="1"/>
  <c r="C19"/>
  <c r="C20" s="1"/>
  <c r="D35"/>
  <c r="E35"/>
  <c r="E34" s="1"/>
  <c r="E1"/>
  <c r="E5" s="1"/>
  <c r="C37" i="36"/>
  <c r="C19"/>
  <c r="C20" s="1"/>
  <c r="D19"/>
  <c r="D18" s="1"/>
  <c r="D37"/>
  <c r="D36" s="1"/>
  <c r="E37"/>
  <c r="E1"/>
  <c r="E5" s="1"/>
  <c r="C26" i="35"/>
  <c r="C25" s="1"/>
  <c r="C15"/>
  <c r="C16" s="1"/>
  <c r="D15"/>
  <c r="D14" s="1"/>
  <c r="D26"/>
  <c r="E15"/>
  <c r="E14" s="1"/>
  <c r="E26"/>
  <c r="E25" s="1"/>
  <c r="E1"/>
  <c r="D5" s="1"/>
  <c r="C57" i="19"/>
  <c r="D57"/>
  <c r="E57"/>
  <c r="E1"/>
  <c r="E5" s="1"/>
  <c r="E32" s="1"/>
  <c r="C24"/>
  <c r="C23" s="1"/>
  <c r="D24"/>
  <c r="E24"/>
  <c r="C27"/>
  <c r="C63" i="18"/>
  <c r="D63"/>
  <c r="E63"/>
  <c r="C30"/>
  <c r="C29" s="1"/>
  <c r="D30"/>
  <c r="E30"/>
  <c r="E1"/>
  <c r="D5" s="1"/>
  <c r="D38" s="1"/>
  <c r="C63" i="17"/>
  <c r="C62" s="1"/>
  <c r="D63"/>
  <c r="E63"/>
  <c r="E1"/>
  <c r="E5" s="1"/>
  <c r="E38" s="1"/>
  <c r="C30"/>
  <c r="C29" s="1"/>
  <c r="D30"/>
  <c r="E30"/>
  <c r="E29" s="1"/>
  <c r="C63" i="16"/>
  <c r="D63"/>
  <c r="E63"/>
  <c r="E1"/>
  <c r="D5" s="1"/>
  <c r="D38" s="1"/>
  <c r="C30"/>
  <c r="C33" s="1"/>
  <c r="D30"/>
  <c r="E30"/>
  <c r="E1" i="15"/>
  <c r="E5" s="1"/>
  <c r="E38" s="1"/>
  <c r="E63"/>
  <c r="C63"/>
  <c r="D63"/>
  <c r="D62" s="1"/>
  <c r="E30"/>
  <c r="C30"/>
  <c r="D30"/>
  <c r="C66"/>
  <c r="A64" i="2"/>
  <c r="D20"/>
  <c r="E20"/>
  <c r="G21" s="1"/>
  <c r="F1" i="44"/>
  <c r="A22" s="1"/>
  <c r="C15" i="21"/>
  <c r="J17" i="39"/>
  <c r="J18"/>
  <c r="J28"/>
  <c r="H17"/>
  <c r="H18"/>
  <c r="H29"/>
  <c r="H30" s="1"/>
  <c r="H28"/>
  <c r="F17"/>
  <c r="F18" s="1"/>
  <c r="F28"/>
  <c r="D17"/>
  <c r="D18" s="1"/>
  <c r="D28"/>
  <c r="B28"/>
  <c r="B17"/>
  <c r="B18" s="1"/>
  <c r="K1"/>
  <c r="F2" s="1"/>
  <c r="J34" i="21"/>
  <c r="E1" i="43"/>
  <c r="A36" s="1"/>
  <c r="D52" i="3"/>
  <c r="J1" i="24"/>
  <c r="B18" s="1"/>
  <c r="C51" i="43"/>
  <c r="D13" i="5" s="1"/>
  <c r="D51" i="43"/>
  <c r="E15" i="5" s="1"/>
  <c r="E51" i="43"/>
  <c r="F17" i="5" s="1"/>
  <c r="A4" i="33"/>
  <c r="A7"/>
  <c r="A13"/>
  <c r="A15"/>
  <c r="A21"/>
  <c r="A27"/>
  <c r="A1" i="44"/>
  <c r="B6"/>
  <c r="B7"/>
  <c r="B14" i="43"/>
  <c r="E28" i="24" s="1"/>
  <c r="D6" i="44"/>
  <c r="D26"/>
  <c r="D28" s="1"/>
  <c r="A13" i="21"/>
  <c r="C13"/>
  <c r="E13"/>
  <c r="G89" i="7" s="1"/>
  <c r="A14" i="21"/>
  <c r="B14"/>
  <c r="C14"/>
  <c r="D14"/>
  <c r="E14"/>
  <c r="G53" i="34" s="1"/>
  <c r="E15" i="21"/>
  <c r="A16"/>
  <c r="C41" i="32"/>
  <c r="B46" i="21" s="1"/>
  <c r="D41" i="32"/>
  <c r="D46" i="21" s="1"/>
  <c r="E41" i="32"/>
  <c r="F46" i="21" s="1"/>
  <c r="G20" i="22"/>
  <c r="F53" i="21" s="1"/>
  <c r="G32" i="22"/>
  <c r="F54" i="21"/>
  <c r="G42" i="22"/>
  <c r="F55" i="21" s="1"/>
  <c r="G28" i="23"/>
  <c r="F56" i="21" s="1"/>
  <c r="A1" i="39"/>
  <c r="G5"/>
  <c r="I5"/>
  <c r="K7"/>
  <c r="B1" i="38"/>
  <c r="D19"/>
  <c r="D18" s="1"/>
  <c r="E19"/>
  <c r="E18" s="1"/>
  <c r="B1" i="36"/>
  <c r="E19"/>
  <c r="E18" s="1"/>
  <c r="E36"/>
  <c r="B1" i="35"/>
  <c r="B1" i="19"/>
  <c r="C14"/>
  <c r="C15" s="1"/>
  <c r="C25" s="1"/>
  <c r="D14"/>
  <c r="D13" s="1"/>
  <c r="E14"/>
  <c r="E13" s="1"/>
  <c r="E23"/>
  <c r="C43"/>
  <c r="C44" s="1"/>
  <c r="D43"/>
  <c r="D42" s="1"/>
  <c r="E43"/>
  <c r="E42" s="1"/>
  <c r="B1" i="18"/>
  <c r="C16"/>
  <c r="C17" s="1"/>
  <c r="D16"/>
  <c r="D15" s="1"/>
  <c r="E16"/>
  <c r="E15" s="1"/>
  <c r="D29"/>
  <c r="E29"/>
  <c r="C49"/>
  <c r="C48" s="1"/>
  <c r="C50"/>
  <c r="C64" s="1"/>
  <c r="D49"/>
  <c r="D48" s="1"/>
  <c r="E49"/>
  <c r="E48" s="1"/>
  <c r="C62"/>
  <c r="D62"/>
  <c r="E62"/>
  <c r="B65"/>
  <c r="B1" i="17"/>
  <c r="C16"/>
  <c r="C17" s="1"/>
  <c r="C31" s="1"/>
  <c r="D6" s="1"/>
  <c r="D16"/>
  <c r="D15" s="1"/>
  <c r="E16"/>
  <c r="E15" s="1"/>
  <c r="D29"/>
  <c r="C49"/>
  <c r="C50" s="1"/>
  <c r="C64" s="1"/>
  <c r="D49"/>
  <c r="D48" s="1"/>
  <c r="E49"/>
  <c r="E48" s="1"/>
  <c r="D62"/>
  <c r="B1" i="16"/>
  <c r="C16"/>
  <c r="C17" s="1"/>
  <c r="D16"/>
  <c r="D15" s="1"/>
  <c r="E16"/>
  <c r="E15" s="1"/>
  <c r="D29"/>
  <c r="E29"/>
  <c r="C49"/>
  <c r="C50" s="1"/>
  <c r="D49"/>
  <c r="D48" s="1"/>
  <c r="E49"/>
  <c r="E48" s="1"/>
  <c r="C62"/>
  <c r="D62"/>
  <c r="E62"/>
  <c r="B1" i="15"/>
  <c r="C16"/>
  <c r="C17" s="1"/>
  <c r="C31" s="1"/>
  <c r="D6" s="1"/>
  <c r="D16"/>
  <c r="D15" s="1"/>
  <c r="E16"/>
  <c r="E15" s="1"/>
  <c r="C29"/>
  <c r="D29"/>
  <c r="E29"/>
  <c r="C49"/>
  <c r="C50" s="1"/>
  <c r="C64" s="1"/>
  <c r="D49"/>
  <c r="D48"/>
  <c r="E49"/>
  <c r="E48" s="1"/>
  <c r="C62"/>
  <c r="E62"/>
  <c r="B1" i="34"/>
  <c r="C41"/>
  <c r="A1" i="9"/>
  <c r="A63" s="1"/>
  <c r="D1"/>
  <c r="C3" s="1"/>
  <c r="C65" s="1"/>
  <c r="B1" i="7"/>
  <c r="B4"/>
  <c r="B46"/>
  <c r="B50"/>
  <c r="B1" i="23"/>
  <c r="I1"/>
  <c r="G9" s="1"/>
  <c r="H28"/>
  <c r="I28"/>
  <c r="B1" i="22"/>
  <c r="M1"/>
  <c r="L6" s="1"/>
  <c r="J20"/>
  <c r="K20"/>
  <c r="L20"/>
  <c r="M20"/>
  <c r="J32"/>
  <c r="K32"/>
  <c r="L32"/>
  <c r="M32"/>
  <c r="J42"/>
  <c r="K42"/>
  <c r="L42"/>
  <c r="M42"/>
  <c r="A1" i="32"/>
  <c r="F1"/>
  <c r="C5" s="1"/>
  <c r="B1" i="5"/>
  <c r="G1"/>
  <c r="C7" s="1"/>
  <c r="B8"/>
  <c r="B9"/>
  <c r="C1" i="24"/>
  <c r="A3"/>
  <c r="B5"/>
  <c r="B6"/>
  <c r="B9"/>
  <c r="B11"/>
  <c r="C14" i="43"/>
  <c r="G11" i="24" s="1"/>
  <c r="B13"/>
  <c r="C14"/>
  <c r="D14" i="43"/>
  <c r="E14" i="24" s="1"/>
  <c r="C15"/>
  <c r="F14" i="43"/>
  <c r="E15" i="24" s="1"/>
  <c r="E14" i="43"/>
  <c r="G24" i="24" s="1"/>
  <c r="B28"/>
  <c r="B38"/>
  <c r="A42"/>
  <c r="H1" i="3"/>
  <c r="C58" s="1"/>
  <c r="C17"/>
  <c r="C18"/>
  <c r="B20"/>
  <c r="F21"/>
  <c r="D51"/>
  <c r="B54"/>
  <c r="B55"/>
  <c r="B56"/>
  <c r="A1" i="43"/>
  <c r="A10"/>
  <c r="A11"/>
  <c r="A12"/>
  <c r="A13"/>
  <c r="A16"/>
  <c r="A18"/>
  <c r="A19"/>
  <c r="A20"/>
  <c r="A21"/>
  <c r="B22"/>
  <c r="E19" i="24" s="1"/>
  <c r="C22" i="43"/>
  <c r="E20" i="24" s="1"/>
  <c r="D22" i="43"/>
  <c r="E21" i="24" s="1"/>
  <c r="A46" i="43"/>
  <c r="A47"/>
  <c r="A48"/>
  <c r="A49"/>
  <c r="A50"/>
  <c r="A62"/>
  <c r="B70"/>
  <c r="A73"/>
  <c r="A74"/>
  <c r="A18" i="2"/>
  <c r="A26"/>
  <c r="A92"/>
  <c r="D92"/>
  <c r="B93"/>
  <c r="B94"/>
  <c r="A102"/>
  <c r="D103"/>
  <c r="E103"/>
  <c r="E5" i="44"/>
  <c r="B24" i="24"/>
  <c r="B32" i="16"/>
  <c r="B39" i="36"/>
  <c r="B37" i="38"/>
  <c r="G7" i="22"/>
  <c r="C48" i="15"/>
  <c r="C15" i="18"/>
  <c r="C42" i="19"/>
  <c r="J5" i="24"/>
  <c r="J7" s="1"/>
  <c r="B3" i="44"/>
  <c r="B65" i="15"/>
  <c r="D6" i="5"/>
  <c r="I9" i="23"/>
  <c r="B32" i="17"/>
  <c r="D5" i="44"/>
  <c r="B5"/>
  <c r="C5"/>
  <c r="B26" i="19"/>
  <c r="D33" i="18"/>
  <c r="C40" i="36"/>
  <c r="C48" i="16"/>
  <c r="D33" i="17"/>
  <c r="C33"/>
  <c r="D66" i="18"/>
  <c r="C66"/>
  <c r="C60" i="19"/>
  <c r="D33" i="54"/>
  <c r="C15"/>
  <c r="B32"/>
  <c r="C48"/>
  <c r="B7" i="43"/>
  <c r="A69"/>
  <c r="A65"/>
  <c r="A24"/>
  <c r="E7"/>
  <c r="B44" i="34"/>
  <c r="J93" i="7"/>
  <c r="D33" i="16"/>
  <c r="C29" i="54"/>
  <c r="C62"/>
  <c r="D66"/>
  <c r="E62"/>
  <c r="D102" i="34"/>
  <c r="D100"/>
  <c r="E6" i="44"/>
  <c r="E76" i="7" s="1"/>
  <c r="D16" i="44"/>
  <c r="E16"/>
  <c r="D17"/>
  <c r="E17"/>
  <c r="D15"/>
  <c r="E15"/>
  <c r="D14"/>
  <c r="E14"/>
  <c r="D13"/>
  <c r="E13"/>
  <c r="D12"/>
  <c r="E12"/>
  <c r="D11"/>
  <c r="E11"/>
  <c r="D10"/>
  <c r="E10"/>
  <c r="D9"/>
  <c r="E9"/>
  <c r="D8"/>
  <c r="E8"/>
  <c r="D7"/>
  <c r="E7"/>
  <c r="E39" i="34" s="1"/>
  <c r="E42" s="1"/>
  <c r="E46" s="1"/>
  <c r="D18" i="44"/>
  <c r="E18"/>
  <c r="J31" i="21"/>
  <c r="F7" i="43"/>
  <c r="F50" i="21"/>
  <c r="D22" i="44"/>
  <c r="D24" s="1"/>
  <c r="J103" i="56"/>
  <c r="J83"/>
  <c r="J123"/>
  <c r="D88" i="7"/>
  <c r="B125" i="9"/>
  <c r="B59" i="19"/>
  <c r="D5" i="36"/>
  <c r="D5" i="38"/>
  <c r="C5" i="36"/>
  <c r="C5" i="38"/>
  <c r="B47" i="58"/>
  <c r="B84"/>
  <c r="B91"/>
  <c r="B46"/>
  <c r="B65" i="54"/>
  <c r="C5"/>
  <c r="C38" s="1"/>
  <c r="E5"/>
  <c r="E38" s="1"/>
  <c r="D5" i="19"/>
  <c r="D32" s="1"/>
  <c r="C5"/>
  <c r="C32" s="1"/>
  <c r="C5" i="18"/>
  <c r="C38" s="1"/>
  <c r="E5"/>
  <c r="E38" s="1"/>
  <c r="B32"/>
  <c r="D5" i="17"/>
  <c r="D38" s="1"/>
  <c r="B65"/>
  <c r="C5"/>
  <c r="C38" s="1"/>
  <c r="B65" i="16"/>
  <c r="C5"/>
  <c r="C38" s="1"/>
  <c r="E5"/>
  <c r="E38" s="1"/>
  <c r="B32" i="15"/>
  <c r="D5"/>
  <c r="D38" s="1"/>
  <c r="C5"/>
  <c r="C38" s="1"/>
  <c r="C5" i="34"/>
  <c r="H79" i="7"/>
  <c r="A32" i="44"/>
  <c r="H88" i="7"/>
  <c r="G40" i="34"/>
  <c r="H45"/>
  <c r="B57" i="21"/>
  <c r="D66" i="17"/>
  <c r="D27" i="19"/>
  <c r="D33" i="15"/>
  <c r="D66" i="16"/>
  <c r="B61" i="9"/>
  <c r="E15" i="58"/>
  <c r="E22" s="1"/>
  <c r="C33" i="15"/>
  <c r="C66" i="16"/>
  <c r="C38" i="38"/>
  <c r="C13" i="19"/>
  <c r="D19" i="44"/>
  <c r="J29" i="39"/>
  <c r="J30"/>
  <c r="B29"/>
  <c r="B30" s="1"/>
  <c r="C27" i="35"/>
  <c r="D6" s="1"/>
  <c r="D16" s="1"/>
  <c r="D27" s="1"/>
  <c r="D62" i="54"/>
  <c r="D29"/>
  <c r="C102" i="34"/>
  <c r="C100"/>
  <c r="J36"/>
  <c r="J74" i="7"/>
  <c r="J75"/>
  <c r="J73"/>
  <c r="G18" i="52"/>
  <c r="F85" i="34" l="1"/>
  <c r="E32" i="66"/>
  <c r="E35" s="1"/>
  <c r="C11" i="5"/>
  <c r="F6" i="3"/>
  <c r="F29" i="39"/>
  <c r="F30" s="1"/>
  <c r="K28"/>
  <c r="D29"/>
  <c r="D30" s="1"/>
  <c r="K18"/>
  <c r="K17"/>
  <c r="K30" s="1"/>
  <c r="E64" i="7"/>
  <c r="D121" i="9"/>
  <c r="G27" i="58"/>
  <c r="E28" s="1"/>
  <c r="G7" i="3"/>
  <c r="C64"/>
  <c r="D38" i="38"/>
  <c r="C36"/>
  <c r="D34"/>
  <c r="C18"/>
  <c r="C36" i="36"/>
  <c r="C38"/>
  <c r="C41" s="1"/>
  <c r="C18"/>
  <c r="C64" i="54"/>
  <c r="E29"/>
  <c r="C31"/>
  <c r="D6" s="1"/>
  <c r="D17" s="1"/>
  <c r="D31" s="1"/>
  <c r="D39" i="18"/>
  <c r="D50" s="1"/>
  <c r="D64" s="1"/>
  <c r="E39" s="1"/>
  <c r="E50" s="1"/>
  <c r="E64" s="1"/>
  <c r="E65" s="1"/>
  <c r="C67"/>
  <c r="D20" i="5"/>
  <c r="D10" s="1"/>
  <c r="E11" i="66" s="1"/>
  <c r="F22" i="5"/>
  <c r="F9" s="1"/>
  <c r="G16" i="58"/>
  <c r="C33" i="18"/>
  <c r="C31"/>
  <c r="D5" i="32"/>
  <c r="E5"/>
  <c r="E62" i="17"/>
  <c r="C66"/>
  <c r="C48"/>
  <c r="C67"/>
  <c r="D39"/>
  <c r="D50" s="1"/>
  <c r="D64" s="1"/>
  <c r="C15"/>
  <c r="D17"/>
  <c r="D31" s="1"/>
  <c r="D34" s="1"/>
  <c r="C34"/>
  <c r="C64" i="16"/>
  <c r="C29"/>
  <c r="C31"/>
  <c r="D6" s="1"/>
  <c r="D17" s="1"/>
  <c r="D31" s="1"/>
  <c r="C15"/>
  <c r="C34"/>
  <c r="D66" i="15"/>
  <c r="D17"/>
  <c r="D31" s="1"/>
  <c r="D34" s="1"/>
  <c r="C34"/>
  <c r="C15"/>
  <c r="C43" i="34"/>
  <c r="D6" s="1"/>
  <c r="D30"/>
  <c r="D43" s="1"/>
  <c r="E6" s="1"/>
  <c r="C101"/>
  <c r="H55"/>
  <c r="D5"/>
  <c r="C49"/>
  <c r="H43"/>
  <c r="H54"/>
  <c r="H47"/>
  <c r="H53"/>
  <c r="H44"/>
  <c r="B46"/>
  <c r="H42"/>
  <c r="E29" i="58"/>
  <c r="G84" i="66"/>
  <c r="G44"/>
  <c r="H48" i="34"/>
  <c r="G33"/>
  <c r="H52"/>
  <c r="C28"/>
  <c r="L43" i="22"/>
  <c r="M43"/>
  <c r="K43"/>
  <c r="J43"/>
  <c r="G43"/>
  <c r="C103" i="34"/>
  <c r="D23" i="19"/>
  <c r="D6"/>
  <c r="D15" s="1"/>
  <c r="D25" s="1"/>
  <c r="E6" s="1"/>
  <c r="E15" s="1"/>
  <c r="E25" s="1"/>
  <c r="E26" s="1"/>
  <c r="C28"/>
  <c r="D56"/>
  <c r="C56"/>
  <c r="E56"/>
  <c r="D60"/>
  <c r="C58"/>
  <c r="C61" s="1"/>
  <c r="D29" i="35"/>
  <c r="D25"/>
  <c r="B28"/>
  <c r="C29"/>
  <c r="C5"/>
  <c r="E5"/>
  <c r="C14"/>
  <c r="E62" i="7"/>
  <c r="D62"/>
  <c r="C62"/>
  <c r="H78"/>
  <c r="H89"/>
  <c r="E45" i="21"/>
  <c r="G55" i="34" s="1"/>
  <c r="H83" i="7"/>
  <c r="H81"/>
  <c r="E4"/>
  <c r="E50" s="1"/>
  <c r="C40"/>
  <c r="G74"/>
  <c r="H91"/>
  <c r="G76"/>
  <c r="H80"/>
  <c r="H84"/>
  <c r="G70"/>
  <c r="C4"/>
  <c r="C50" s="1"/>
  <c r="C86"/>
  <c r="B81"/>
  <c r="C45" i="21"/>
  <c r="C53" i="7"/>
  <c r="B60" i="9"/>
  <c r="D53" i="7"/>
  <c r="C60" i="9"/>
  <c r="C122" s="1"/>
  <c r="E53" i="7"/>
  <c r="D60" i="9"/>
  <c r="D122" s="1"/>
  <c r="D63"/>
  <c r="D3"/>
  <c r="D65" s="1"/>
  <c r="B3"/>
  <c r="B65" s="1"/>
  <c r="B122"/>
  <c r="B7" i="5"/>
  <c r="H19" i="3"/>
  <c r="H18"/>
  <c r="B10"/>
  <c r="C7" i="43"/>
  <c r="G23" i="52"/>
  <c r="G22"/>
  <c r="D7" s="1"/>
  <c r="E19" i="44"/>
  <c r="A44" i="43"/>
  <c r="C70"/>
  <c r="A27"/>
  <c r="A6"/>
  <c r="A63"/>
  <c r="D7"/>
  <c r="A64"/>
  <c r="G22" i="24"/>
  <c r="C33" i="54"/>
  <c r="F57" i="21"/>
  <c r="J27"/>
  <c r="J54"/>
  <c r="J45"/>
  <c r="J33"/>
  <c r="J53"/>
  <c r="J52"/>
  <c r="J46"/>
  <c r="J51"/>
  <c r="D57"/>
  <c r="E21" i="5"/>
  <c r="E9" s="1"/>
  <c r="E11" i="34" s="1"/>
  <c r="D40" i="36"/>
  <c r="D9" i="5"/>
  <c r="E10" i="34" s="1"/>
  <c r="F10" i="5"/>
  <c r="E12" i="34"/>
  <c r="H9" i="23"/>
  <c r="J6" i="22"/>
  <c r="E5" i="34"/>
  <c r="E6" i="15"/>
  <c r="E17" s="1"/>
  <c r="E31" s="1"/>
  <c r="E32" s="1"/>
  <c r="G16" i="24"/>
  <c r="G26" s="1"/>
  <c r="G30" s="1"/>
  <c r="G32" s="1"/>
  <c r="J34" s="1"/>
  <c r="J36" s="1"/>
  <c r="E6" i="35"/>
  <c r="E16" s="1"/>
  <c r="E27" s="1"/>
  <c r="E28" s="1"/>
  <c r="F18" i="3"/>
  <c r="F45" i="34"/>
  <c r="E41"/>
  <c r="F14" i="21"/>
  <c r="D39" i="15"/>
  <c r="D50" s="1"/>
  <c r="D64" s="1"/>
  <c r="C67"/>
  <c r="M29" i="21"/>
  <c r="M53"/>
  <c r="D4" i="7"/>
  <c r="D50" s="1"/>
  <c r="F15" i="21" l="1"/>
  <c r="F19" i="3"/>
  <c r="F76" i="66"/>
  <c r="E39"/>
  <c r="E34"/>
  <c r="K29" i="39"/>
  <c r="D101" i="34"/>
  <c r="C39" i="38"/>
  <c r="D6"/>
  <c r="D20" s="1"/>
  <c r="D36" s="1"/>
  <c r="B44" i="32"/>
  <c r="D6" i="36"/>
  <c r="D20" s="1"/>
  <c r="D38" s="1"/>
  <c r="E6" s="1"/>
  <c r="E20" s="1"/>
  <c r="E38" s="1"/>
  <c r="E39" s="1"/>
  <c r="C67" i="54"/>
  <c r="D39"/>
  <c r="D50" s="1"/>
  <c r="D64" s="1"/>
  <c r="C34"/>
  <c r="E6"/>
  <c r="E17" s="1"/>
  <c r="E31" s="1"/>
  <c r="E32" s="1"/>
  <c r="D34"/>
  <c r="D67" i="18"/>
  <c r="G18" i="58"/>
  <c r="E13" i="66"/>
  <c r="C34" i="18"/>
  <c r="D6"/>
  <c r="D17" s="1"/>
  <c r="D31" s="1"/>
  <c r="E39" i="17"/>
  <c r="E50" s="1"/>
  <c r="E64" s="1"/>
  <c r="E65" s="1"/>
  <c r="D67"/>
  <c r="E6"/>
  <c r="E17" s="1"/>
  <c r="E31" s="1"/>
  <c r="E32" s="1"/>
  <c r="C67" i="16"/>
  <c r="D39"/>
  <c r="D50" s="1"/>
  <c r="D64" s="1"/>
  <c r="E6"/>
  <c r="E17" s="1"/>
  <c r="E31" s="1"/>
  <c r="E32" s="1"/>
  <c r="D34"/>
  <c r="G42" i="34"/>
  <c r="B47"/>
  <c r="G86" i="66"/>
  <c r="G46"/>
  <c r="H49" i="3"/>
  <c r="D28" i="19"/>
  <c r="D33"/>
  <c r="D44" s="1"/>
  <c r="D58" s="1"/>
  <c r="D61" s="1"/>
  <c r="M33" i="21"/>
  <c r="M46" s="1"/>
  <c r="G91" i="7"/>
  <c r="E72"/>
  <c r="E79" s="1"/>
  <c r="C72"/>
  <c r="C79" s="1"/>
  <c r="D72"/>
  <c r="D79" s="1"/>
  <c r="B123" i="9"/>
  <c r="D123"/>
  <c r="C123"/>
  <c r="F8" i="5"/>
  <c r="F11" s="1"/>
  <c r="D8"/>
  <c r="D11" s="1"/>
  <c r="E10"/>
  <c r="D103" i="34"/>
  <c r="E29"/>
  <c r="G43" s="1"/>
  <c r="D67" i="15"/>
  <c r="E39"/>
  <c r="E50" s="1"/>
  <c r="E64" s="1"/>
  <c r="E65" s="1"/>
  <c r="E10" i="7" l="1"/>
  <c r="D39" i="38"/>
  <c r="E6"/>
  <c r="E20" s="1"/>
  <c r="E36" s="1"/>
  <c r="E37" s="1"/>
  <c r="D41" i="36"/>
  <c r="D67" i="54"/>
  <c r="E39"/>
  <c r="E50" s="1"/>
  <c r="E64" s="1"/>
  <c r="E65" s="1"/>
  <c r="G17" i="58"/>
  <c r="E12" i="66"/>
  <c r="E22" s="1"/>
  <c r="D34" i="18"/>
  <c r="E6"/>
  <c r="E17" s="1"/>
  <c r="E31" s="1"/>
  <c r="E32" s="1"/>
  <c r="D67" i="16"/>
  <c r="E39"/>
  <c r="E50" s="1"/>
  <c r="E64" s="1"/>
  <c r="E65" s="1"/>
  <c r="E33" i="19"/>
  <c r="E44" s="1"/>
  <c r="E58" s="1"/>
  <c r="E59" s="1"/>
  <c r="B13" i="21"/>
  <c r="B45" s="1"/>
  <c r="B47" s="1"/>
  <c r="C78" i="7"/>
  <c r="F82"/>
  <c r="F13" i="21"/>
  <c r="F45" s="1"/>
  <c r="F47" s="1"/>
  <c r="E78" i="7"/>
  <c r="F17" i="3"/>
  <c r="F49" s="1"/>
  <c r="E83" i="7"/>
  <c r="D114"/>
  <c r="D78"/>
  <c r="D13" i="21"/>
  <c r="D45" s="1"/>
  <c r="D47" s="1"/>
  <c r="C80" i="7"/>
  <c r="C114"/>
  <c r="G83"/>
  <c r="E8" i="5"/>
  <c r="E9" i="7" s="1"/>
  <c r="E8"/>
  <c r="E30" i="34"/>
  <c r="E47" s="1"/>
  <c r="E11" i="5" l="1"/>
  <c r="G34" i="66"/>
  <c r="G74"/>
  <c r="E23"/>
  <c r="E40" s="1"/>
  <c r="B83" i="7"/>
  <c r="C115"/>
  <c r="D5"/>
  <c r="D42" s="1"/>
  <c r="E41"/>
  <c r="G79" s="1"/>
  <c r="E48" i="34"/>
  <c r="G75" i="66" l="1"/>
  <c r="E41"/>
  <c r="E42" s="1"/>
  <c r="D80" i="7"/>
  <c r="D51"/>
  <c r="E49" i="34"/>
  <c r="G15" i="58"/>
  <c r="G22" s="1"/>
  <c r="D24" s="1"/>
  <c r="K84" i="34"/>
  <c r="E28" l="1"/>
  <c r="E21" i="66"/>
  <c r="G15" i="21"/>
  <c r="H15" s="1"/>
  <c r="G19" i="3"/>
  <c r="G35" i="66"/>
  <c r="K75"/>
  <c r="G76"/>
  <c r="G79" s="1"/>
  <c r="G14" i="21"/>
  <c r="H14" s="1"/>
  <c r="G18" i="3"/>
  <c r="J38" i="24"/>
  <c r="J40" s="1"/>
  <c r="D115" i="7"/>
  <c r="B84" s="1"/>
  <c r="G78"/>
  <c r="E5"/>
  <c r="E42" s="1"/>
  <c r="G44" i="34"/>
  <c r="E23" i="58"/>
  <c r="G43" i="66" l="1"/>
  <c r="G83"/>
  <c r="G29" i="58"/>
  <c r="E30" s="1"/>
  <c r="D31" s="1"/>
  <c r="F33" s="1"/>
  <c r="F80" i="66" s="1"/>
  <c r="K35"/>
  <c r="G36"/>
  <c r="G39" s="1"/>
  <c r="G52" i="34"/>
  <c r="E51" i="7"/>
  <c r="E84"/>
  <c r="E85" s="1"/>
  <c r="E86" s="1"/>
  <c r="G45" i="34"/>
  <c r="G48" s="1"/>
  <c r="K44"/>
  <c r="G17" i="3" l="1"/>
  <c r="G49" s="1"/>
  <c r="G50" s="1"/>
  <c r="I48" i="66" s="1"/>
  <c r="I88"/>
  <c r="G13" i="21"/>
  <c r="G45" s="1"/>
  <c r="M54" s="1"/>
  <c r="E40" i="7"/>
  <c r="G80"/>
  <c r="K80" s="1"/>
  <c r="I57" i="34"/>
  <c r="I93" i="7"/>
  <c r="H13" i="21" l="1"/>
  <c r="G81" i="7"/>
  <c r="G84" s="1"/>
  <c r="G88"/>
  <c r="M45" i="21"/>
  <c r="M47" s="1"/>
  <c r="M36" s="1"/>
  <c r="J36" s="1"/>
  <c r="M35" l="1"/>
  <c r="J35" s="1"/>
  <c r="H45"/>
  <c r="G90" i="7" l="1"/>
  <c r="G45" i="66"/>
  <c r="G85"/>
  <c r="G54" i="34"/>
  <c r="M51" i="21"/>
</calcChain>
</file>

<file path=xl/sharedStrings.xml><?xml version="1.0" encoding="utf-8"?>
<sst xmlns="http://schemas.openxmlformats.org/spreadsheetml/2006/main" count="2390" uniqueCount="1254">
  <si>
    <t>Computer Spreadsheet Preparation</t>
  </si>
  <si>
    <t>CERTIFICATE</t>
  </si>
  <si>
    <t>STATEMENT OF CONDITIONAL LEASE-PURCHASE AND CERTIFICATE OF PARTICIPATION*</t>
  </si>
  <si>
    <t>NOTICE OF BUDGET HEARING</t>
  </si>
  <si>
    <t>BUDGET SUMMARY</t>
  </si>
  <si>
    <t>FUND PAGE - GENERAL</t>
  </si>
  <si>
    <t>FUND PAGE FOR FUNDS WITH A TAX LEVY</t>
  </si>
  <si>
    <t>FUND PAGE FOR FUNDS WITH NO TAX LEVY</t>
  </si>
  <si>
    <t>STATEMENT OF INDEBTEDNESS</t>
  </si>
  <si>
    <t>16/20M Veh</t>
  </si>
  <si>
    <t>MVT</t>
  </si>
  <si>
    <t>RVT</t>
  </si>
  <si>
    <t>County Treasurers 16/20M Vehicle Estimate</t>
  </si>
  <si>
    <t>16/20M Vehicle Factor</t>
  </si>
  <si>
    <t>Amount of Levy</t>
  </si>
  <si>
    <t xml:space="preserve"> 1.</t>
  </si>
  <si>
    <t>+</t>
  </si>
  <si>
    <t>$</t>
  </si>
  <si>
    <t xml:space="preserve"> 2.</t>
  </si>
  <si>
    <t>-</t>
  </si>
  <si>
    <t xml:space="preserve"> 4.</t>
  </si>
  <si>
    <t xml:space="preserve"> 5.</t>
  </si>
  <si>
    <t>5a.</t>
  </si>
  <si>
    <t>5b.</t>
  </si>
  <si>
    <t>5c.</t>
  </si>
  <si>
    <t>6.</t>
  </si>
  <si>
    <t>6a.</t>
  </si>
  <si>
    <t>6b.</t>
  </si>
  <si>
    <t>6c.</t>
  </si>
  <si>
    <t>6d.</t>
  </si>
  <si>
    <t>7.</t>
  </si>
  <si>
    <t>8.</t>
  </si>
  <si>
    <t>9.</t>
  </si>
  <si>
    <t>10.</t>
  </si>
  <si>
    <t>11.</t>
  </si>
  <si>
    <t>12.</t>
  </si>
  <si>
    <t>13.</t>
  </si>
  <si>
    <t>(Use Only if &gt; 0)</t>
  </si>
  <si>
    <t>16/20M Vehicle Tax</t>
  </si>
  <si>
    <t>Balance On</t>
  </si>
  <si>
    <t>Tax Levy Excluding Debt Service</t>
  </si>
  <si>
    <t>New Improvements</t>
  </si>
  <si>
    <t>Increase in Personal Property (5a minus 5b)</t>
  </si>
  <si>
    <t xml:space="preserve">  3.</t>
  </si>
  <si>
    <t>Real Estate</t>
  </si>
  <si>
    <t>State Assessed</t>
  </si>
  <si>
    <t>Total Adjustment (Sum of 6a, 6b, and 6c)</t>
  </si>
  <si>
    <r>
      <t xml:space="preserve">Total Valuation Adjustment </t>
    </r>
    <r>
      <rPr>
        <sz val="12"/>
        <rFont val="Times New Roman"/>
        <family val="1"/>
      </rPr>
      <t>(Sum of 4, 5c, 6d &amp;7)</t>
    </r>
  </si>
  <si>
    <t>Total Valuation less Valuation Adjustment (9 minus 8)</t>
  </si>
  <si>
    <t>Factor for Increase (8 divided by 10)</t>
  </si>
  <si>
    <t>Amount of Increase (11 times 3)</t>
  </si>
  <si>
    <t xml:space="preserve">  State Assessed</t>
  </si>
  <si>
    <t xml:space="preserve">  New Improvements</t>
  </si>
  <si>
    <t>14.</t>
  </si>
  <si>
    <t>15.</t>
  </si>
  <si>
    <t>Maximum Tax Levy, excluding debt service, without an Ordinance (3 plus 12)</t>
  </si>
  <si>
    <t>Maximum levy, including debt service, without an Ordinance (13 plus 14)</t>
  </si>
  <si>
    <t>Unencumbered Cash Balance Jan 1</t>
  </si>
  <si>
    <t>Unencumbered Cash Balance Dec 31</t>
  </si>
  <si>
    <t>Receipts:</t>
  </si>
  <si>
    <t xml:space="preserve">Enter information  in all areas that are green if they apply to the budget you are preparing. </t>
  </si>
  <si>
    <t>12-101a</t>
  </si>
  <si>
    <t>Schedule of Transfers</t>
  </si>
  <si>
    <t>(Beginning Principal)</t>
  </si>
  <si>
    <t>Lease Purchase Principal</t>
  </si>
  <si>
    <t>County Clerk's Use Only</t>
  </si>
  <si>
    <t>ORDINANCE NUMBER ____</t>
  </si>
  <si>
    <t>WHEREAS, the cost of providing essential services to the citizens of this city continues to increase.</t>
  </si>
  <si>
    <t>Section Three.  This ordinance shall take effect after publication once in the official city newspaper.</t>
  </si>
  <si>
    <t>/s/ _______________________</t>
  </si>
  <si>
    <t>ATTEST: /s/ _________________</t>
  </si>
  <si>
    <t>City Clerk</t>
  </si>
  <si>
    <t>(SEAL)</t>
  </si>
  <si>
    <t>(Must be published and publication attached to budget)</t>
  </si>
  <si>
    <t xml:space="preserve">Mayor                    </t>
  </si>
  <si>
    <t>Current</t>
  </si>
  <si>
    <t>Proposed</t>
  </si>
  <si>
    <t>Address:</t>
  </si>
  <si>
    <r>
      <t>1a. On line 2- 'Enter City Name' - In the green area, please start with "</t>
    </r>
    <r>
      <rPr>
        <b/>
        <sz val="12"/>
        <rFont val="Times New Roman"/>
        <family val="1"/>
      </rPr>
      <t>City of</t>
    </r>
    <r>
      <rPr>
        <sz val="12"/>
        <rFont val="Times New Roman"/>
        <family val="1"/>
      </rPr>
      <t xml:space="preserve">" then the name of the city. The green area will expand, so do not worry if the name would appear as not to fit the green area. </t>
    </r>
  </si>
  <si>
    <t>Current Year Estimate</t>
  </si>
  <si>
    <t>Proposed Budget Year</t>
  </si>
  <si>
    <t>NON-BUDGETED FUNDS (A)</t>
  </si>
  <si>
    <t>(1) Fund Name:</t>
  </si>
  <si>
    <t>(2) Fund Name:</t>
  </si>
  <si>
    <t>(3) Fund Name:</t>
  </si>
  <si>
    <t>(4) Fund Name:</t>
  </si>
  <si>
    <t>(5) Fund Name:</t>
  </si>
  <si>
    <t xml:space="preserve">Unencumbered </t>
  </si>
  <si>
    <t>Cash Balance Dec 31</t>
  </si>
  <si>
    <t>LAVTR</t>
  </si>
  <si>
    <t>City and County Revenue Sharing</t>
  </si>
  <si>
    <t>Enter year being budgeted (YYYY)</t>
  </si>
  <si>
    <t>10-113</t>
  </si>
  <si>
    <t xml:space="preserve">  G.O. Bonds</t>
  </si>
  <si>
    <t xml:space="preserve">  Revenue Bonds</t>
  </si>
  <si>
    <t xml:space="preserve">  Other</t>
  </si>
  <si>
    <t xml:space="preserve">  Lease Purchase Principal</t>
  </si>
  <si>
    <t>Other (non-tax levy) fund names:</t>
  </si>
  <si>
    <t>Ad Valorem</t>
  </si>
  <si>
    <t>Tax</t>
  </si>
  <si>
    <t>Beginning Amount</t>
  </si>
  <si>
    <t xml:space="preserve">of </t>
  </si>
  <si>
    <t>Outstanding</t>
  </si>
  <si>
    <t>Retirement</t>
  </si>
  <si>
    <t xml:space="preserve">Total Other </t>
  </si>
  <si>
    <t>Transfers</t>
  </si>
  <si>
    <t>Amount for</t>
  </si>
  <si>
    <t>Authorized by</t>
  </si>
  <si>
    <t>From:</t>
  </si>
  <si>
    <t>To:</t>
  </si>
  <si>
    <t xml:space="preserve"> Statute</t>
  </si>
  <si>
    <t>Adjusted Totals</t>
  </si>
  <si>
    <t>Budgeted Fund</t>
  </si>
  <si>
    <t>adopt an ordinance to exceed this limit, publish the ordinance, and</t>
  </si>
  <si>
    <t>attach a copy of the published ordinance to this budget.</t>
  </si>
  <si>
    <t>Non-Budgeted Funds-A</t>
  </si>
  <si>
    <t>Estimate</t>
  </si>
  <si>
    <t xml:space="preserve">Section Two.  After careful public deliberations, the governing body has determined that </t>
  </si>
  <si>
    <t xml:space="preserve">in order to maintain the public services that are essential for the citizens of this city, it will be </t>
  </si>
  <si>
    <t>budget.</t>
  </si>
  <si>
    <t>Single Non Tax Levy:</t>
  </si>
  <si>
    <t>Non-Budgeted (A):</t>
  </si>
  <si>
    <t>Non-Budgeted (B):</t>
  </si>
  <si>
    <t>Non-Budgeted (C):</t>
  </si>
  <si>
    <t>Non-Budgeted (D):</t>
  </si>
  <si>
    <t>The following were changed to this spreadsheet on 8/06/2007</t>
  </si>
  <si>
    <t>2. All pages have a revision date.</t>
  </si>
  <si>
    <t xml:space="preserve">3. Hard coded the Bond &amp; Interest on Certificate and Summary pages. </t>
  </si>
  <si>
    <t>5. Computation to Determine Limit now has the debts amounts link within the spreadsheet.</t>
  </si>
  <si>
    <t>6. Schedule of Transfers have the transfers totaled and link to the budget summary page.</t>
  </si>
  <si>
    <t>8. Now can key in the official title on the budget summary page.</t>
  </si>
  <si>
    <t xml:space="preserve">9. Now have the indebtedness prior year added to the input page and link with the budget summary page. </t>
  </si>
  <si>
    <t>10. Added three input spaces for League's highway estimates and link to Special Highway page. Included a note about usage to County Road System.</t>
  </si>
  <si>
    <t>12. Changed the Budget Summary Heading to include Actual/Estimate/Proposed with the budget year.</t>
  </si>
  <si>
    <t>13. Changed the delinquency rate formula for all levy funds.</t>
  </si>
  <si>
    <t>15. Using the actual ad valorem rates from the Clerk's information versus from the Certificate page.</t>
  </si>
  <si>
    <t>When the page numbers are entered/changed on the fund pages, the Certificate page will also be changed.</t>
  </si>
  <si>
    <t xml:space="preserve">The worksheets are named (see the tab) in each budget workbook.  We will identify the worksheet by referencing the tab in parentheses (i.e. General Fund reference would be (general). </t>
  </si>
  <si>
    <t>All dollar amounts should be rounded to whole dollars (do not record cents).</t>
  </si>
  <si>
    <t>The blue areas indicated where the information comes from to complete the section input.</t>
  </si>
  <si>
    <t>2a.  Enter the Computation of Delinquency information. Please note that K.S.A. 79-2930 states that such allowance shall not exceed by more than 5% the percentage of delinquency for the preceding tax year.  Such allowance is not mandatory, but may be used if the municipality wishes.</t>
  </si>
  <si>
    <r>
      <t>***</t>
    </r>
    <r>
      <rPr>
        <b/>
        <u/>
        <sz val="12"/>
        <rFont val="Times New Roman"/>
        <family val="1"/>
      </rPr>
      <t>Note</t>
    </r>
    <r>
      <rPr>
        <sz val="12"/>
        <rFont val="Times New Roman"/>
        <family val="1"/>
      </rPr>
      <t xml:space="preserve">:  Only used when a portion of the County monies are distributed to the Cities under the provisions of                                              </t>
    </r>
  </si>
  <si>
    <t xml:space="preserve">        K.S.A. 79-3425c</t>
  </si>
  <si>
    <t>18. Add total section for Schedule of Transfers and linked the total to the Budget Summary page.</t>
  </si>
  <si>
    <t>19. Added column to show when debt retired on the Indebtedness page.</t>
  </si>
  <si>
    <t>20. Special Highway page added line for County Transfer Gas and linked adjustment for prior and county transfer gas from the input page (inputoth).</t>
  </si>
  <si>
    <t>Note:  All amounts are to be entered in as whole numbers only.</t>
  </si>
  <si>
    <t xml:space="preserve">The input for the following comes directly from </t>
  </si>
  <si>
    <t>Budget Summary</t>
  </si>
  <si>
    <t>Is an Ordinance required  to be passed, published, and attached to the budget?</t>
  </si>
  <si>
    <t>**</t>
  </si>
  <si>
    <t>**Note: These two block figures should agree.</t>
  </si>
  <si>
    <t>1. instruction were changed: POC change from Roger to armunis, got rid about us providing disk, took the input page and split to input prior budget information and input other, with more in-depth of forms and fund page, and more in-depth on the budget summary page.</t>
  </si>
  <si>
    <t xml:space="preserve">4.  All dates on the spreadsheet are controlled from input on the input Prior Year page. </t>
  </si>
  <si>
    <t>14. Changed the Certificate page so the county name flows instead of having unneeded spaces.</t>
  </si>
  <si>
    <t>16. Delinquency rate for actual for 3 decimal and note that rate can be up to 5% over the actual rate.</t>
  </si>
  <si>
    <t>17. Computation to Determine Limit changed the note on bottom to include publish ordinance and attach the published ordinance to the budget.</t>
  </si>
  <si>
    <t xml:space="preserve">The yellowed shaded areas of the budget worksheets contain formulas or links which should not be changed, and are protected.  Most errors occur because of information entered on the input pages.  If you are experiencing a problem with a protected cell, first check to see how the information was entered on the input pages.  If the information was entered correctly, and you still continue to experience problems, please contact us for assistance. </t>
  </si>
  <si>
    <t>Outstanding Indebtedness, January 1:</t>
  </si>
  <si>
    <t>From the League of Municipalities' Budget Tips (Special City and County Highway Fund):</t>
  </si>
  <si>
    <t>Enter City Name ( City of )</t>
  </si>
  <si>
    <t>1st</t>
  </si>
  <si>
    <t>2nd</t>
  </si>
  <si>
    <t>3rd</t>
  </si>
  <si>
    <t>Enter Other Counties' Name:</t>
  </si>
  <si>
    <t>Assessed Valuation:</t>
  </si>
  <si>
    <t>Total Assessed Valuation</t>
  </si>
  <si>
    <t>Attest:_____________________,</t>
  </si>
  <si>
    <t xml:space="preserve">  Real               Estate</t>
  </si>
  <si>
    <t>Recreational Vehicle</t>
  </si>
  <si>
    <t xml:space="preserve">16\20 M Vehicle </t>
  </si>
  <si>
    <t xml:space="preserve">Motor              Vehicle </t>
  </si>
  <si>
    <t>Total Vehicle Tax Estimates</t>
  </si>
  <si>
    <r>
      <t>**</t>
    </r>
    <r>
      <rPr>
        <b/>
        <u/>
        <sz val="12"/>
        <rFont val="Times New Roman"/>
        <family val="1"/>
      </rPr>
      <t>Note</t>
    </r>
    <r>
      <rPr>
        <sz val="12"/>
        <rFont val="Times New Roman"/>
        <family val="1"/>
      </rPr>
      <t>: The delinquency rate can be up to 5% more than the actual delinquency rate from the previous year.</t>
    </r>
  </si>
  <si>
    <t xml:space="preserve">Neighborhood Revitalization </t>
  </si>
  <si>
    <t>City4 Spreadsheet Instructions</t>
  </si>
  <si>
    <t xml:space="preserve">Cities can use the city.xls, city1.xls, city2, city3 or city4.xls files.   You must choose a form that meets the needs for the number of funds.  If you don't need all the funds, just leave the pages blank and number the completed pages sequentially. </t>
  </si>
  <si>
    <t>Input sheet for City4.XLS budget form</t>
  </si>
  <si>
    <t>Funds</t>
  </si>
  <si>
    <t xml:space="preserve">expenditure amounts should reflect the amended </t>
  </si>
  <si>
    <t>expenditure amounts.</t>
  </si>
  <si>
    <t>Neighborhood Revitalization Rebate</t>
  </si>
  <si>
    <t>Miscellaneous</t>
  </si>
  <si>
    <t>Does miscellaneous exceed 10% of Total Expenditure</t>
  </si>
  <si>
    <t>Red areas are for notes or indicate a problem area that will need possible corrective action taken.</t>
  </si>
  <si>
    <t xml:space="preserve">Submitting the Budget </t>
  </si>
  <si>
    <r>
      <t xml:space="preserve">Budgets are required to be sent to the County Clerk </t>
    </r>
    <r>
      <rPr>
        <b/>
        <sz val="12"/>
        <rFont val="Times New Roman"/>
        <family val="1"/>
      </rPr>
      <t>by August 25</t>
    </r>
    <r>
      <rPr>
        <sz val="12"/>
        <rFont val="Times New Roman"/>
        <family val="1"/>
      </rPr>
      <t xml:space="preserve"> of each year. </t>
    </r>
  </si>
  <si>
    <t>37. Change Certificate page total for mil rates from 0 to blank.</t>
  </si>
  <si>
    <t>Enter Home County Name followed by "County"</t>
  </si>
  <si>
    <t>Cash Balance Jan 1</t>
  </si>
  <si>
    <t>39. Added 'excluding oil, gas, and mobile homes' on Clerks budget info on tab inputoth.</t>
  </si>
  <si>
    <t>***If you are merely leasing/renting with no intent to purchase, do not list--such transactions are not lease-purchases.</t>
  </si>
  <si>
    <t>21. Added four single no levy fund pages and 4 non-budgeted pages.</t>
  </si>
  <si>
    <t>22. Added question on Certificate page about the ordinance.</t>
  </si>
  <si>
    <t xml:space="preserve">Ad Valorem Tax </t>
  </si>
  <si>
    <t>23. Added note to the non-budgeted fund pages to ensure the amounts agree.</t>
  </si>
  <si>
    <t>24. Added to instructions about non-appropriated balances being limited to 5%.</t>
  </si>
  <si>
    <t>25. Added warning "Exceeds 5%" on all fund pages for the non-appropirated balance.</t>
  </si>
  <si>
    <t>26. Added three additional spaces for Counties information on the input pages.</t>
  </si>
  <si>
    <t>27. Added line on instruction page for the three additional Counties information.</t>
  </si>
  <si>
    <t>28. Added Neighborhood Revitalization table and added links to all tax levy fund pages.</t>
  </si>
  <si>
    <t>29. Added to the instructions about neighborhood revitalization and made new line for transfers.</t>
  </si>
  <si>
    <t xml:space="preserve">30. Added Slider to the Vehicle Allocation table and linked to the fund pages. </t>
  </si>
  <si>
    <t>31. Added to all budgeted fund pages the budget authority for the actual year, budget violation, and cash violation.</t>
  </si>
  <si>
    <t>32. Added instruction on the addition for item 32.</t>
  </si>
  <si>
    <t>38. Expanded on the preparation of budget note 11 for instructions for the Notice of Budget Hearing.</t>
  </si>
  <si>
    <t>The following were changed to this spreadsheet on 5/08/2008</t>
  </si>
  <si>
    <t>1. Instruction page #9a change from 'shown be shown' to read 'should be shown'.</t>
  </si>
  <si>
    <t>2. Change Transfers tab footer from 'Page No. 5' to read 'Page No. 4'.</t>
  </si>
  <si>
    <r>
      <t>3. Change all Non-Budgeted Funds forms from 'Only the actual budget year shown' to '</t>
    </r>
    <r>
      <rPr>
        <i/>
        <sz val="12"/>
        <rFont val="Times New Roman"/>
        <family val="1"/>
      </rPr>
      <t>Only the actual budget year for YYYY is to be shown</t>
    </r>
    <r>
      <rPr>
        <sz val="12"/>
        <rFont val="Times New Roman"/>
        <family val="1"/>
      </rPr>
      <t>'.</t>
    </r>
  </si>
  <si>
    <t>4. Change Budget Summary from 'Proposed Budget Expenditures' to read 'Proposed Budget YYYY Expenditures'.</t>
  </si>
  <si>
    <t>5. Change Legend #38 from 'note 10' to 'note 11'.</t>
  </si>
  <si>
    <t>6. All pages revision date was changed.</t>
  </si>
  <si>
    <t>The following were changed to this spreadsheet on 6/30/08</t>
  </si>
  <si>
    <t>1. Changed the link on Non-BudD to have the correct fund names picked up from inputpryr.</t>
  </si>
  <si>
    <t>The following were changed to this spreadsheet on 7/11/08</t>
  </si>
  <si>
    <t>1. Changed the formula on the 'summ tab' cell c20 to c29 to correct duplication on cell c20 and renumber c21-c29.</t>
  </si>
  <si>
    <t>Debt Service</t>
  </si>
  <si>
    <t xml:space="preserve">           General Fund - Detail Expend</t>
  </si>
  <si>
    <t>(Note: Should agree with general sub-totals.)</t>
  </si>
  <si>
    <t>1. Input tab (inputPrYr) added column for the current year expenditures.</t>
  </si>
  <si>
    <t>2. Statement of Indebtedness (debt) added lines to all categories.</t>
  </si>
  <si>
    <t xml:space="preserve">3. All tax levy funds and no tax levy funds fund pages made the following changes: </t>
  </si>
  <si>
    <r>
      <t>3a. Made the total expenditures block for the actual and current year to turn '</t>
    </r>
    <r>
      <rPr>
        <sz val="12"/>
        <color indexed="10"/>
        <rFont val="Times New Roman"/>
        <family val="1"/>
      </rPr>
      <t>Red</t>
    </r>
    <r>
      <rPr>
        <sz val="12"/>
        <rFont val="Times New Roman"/>
        <family val="1"/>
      </rPr>
      <t>' if violation occurs.</t>
    </r>
  </si>
  <si>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</si>
  <si>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</si>
  <si>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t>4. All tax levy fund pages abbreviated the non-appropriated, total expenditures/non-appropriated, and delinquency computation rate.</t>
  </si>
  <si>
    <r>
      <t xml:space="preserve">5. Special Highway and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</si>
  <si>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6. Neighborhood Revitalization (nhood) made the estimate rebate round the figures to whole dollars.</t>
  </si>
  <si>
    <t xml:space="preserve">7. Instruction page have changed all reference for Bond &amp; Interest to Debt Service. </t>
  </si>
  <si>
    <t>7a. Added 4a to explain about no-fund warrants and temporary notes can be added to the debt service on the Computation to Determine Levy Limit.</t>
  </si>
  <si>
    <t>7b. Added 9d to explain more about the debt service fund page can included for debts.</t>
  </si>
  <si>
    <t>8. Added to the instruction page lines 10a - 10c to provide a little more insight for the Neighborhood Revitalization rebate.</t>
  </si>
  <si>
    <t>9. Added 2b to explain how to delete delinquency rate from tax levy fund pages.</t>
  </si>
  <si>
    <t>10. Changed the Bond &amp; Interest tab (B&amp;I) to Debt Service tab (DebtService).</t>
  </si>
  <si>
    <t>11. Changed the revised date on all pages changed.</t>
  </si>
  <si>
    <t>12. Changed 9a to reflect General Fund Detail (GenDetail) is linked to the General Fund (general) and that detail 'Page Total' amounts should agree to 'Sub-Total' on the General Fund page.</t>
  </si>
  <si>
    <t>13. Added 9j to 9l for additional edits for budget authority.</t>
  </si>
  <si>
    <t>The following were changed to this spreadsheet on 8/25/08</t>
  </si>
  <si>
    <t>The General fund has a detail page (gendetail) which can be used to disclose more insight of the expenditures by a department.  The expenditures categories can be changed or additional lines can be added if needed.  If used, ensure the amounts agree with the General fund page amounts.</t>
  </si>
  <si>
    <t>2b. If the city chooses not to use the delinquency rate for all tax levy funds, then the city must delete the rate from those funds. First step, go to the fund tab of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</si>
  <si>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t>The following were changed to this spreadsheet on 7/01/08</t>
  </si>
  <si>
    <t>1. Added instructions to 9f for the NonBudA to NonBudD tabs explaining about negative cash balance.</t>
  </si>
  <si>
    <t>2. Changed the formula for unencumbered cash balances for NonBudA to NonBudD to show a negative balance.</t>
  </si>
  <si>
    <t>3. Added box under unencumbered cash balance for NonBudA to NonBudD to reflect a negative ending cash balance.</t>
  </si>
  <si>
    <t>4. Changed foot note to reflect the changes maded on 7/1/08 to the above tabs.</t>
  </si>
  <si>
    <t>1b. First County block is for the Home County and the other three blocks are for counties that proves valuation and vehicle/slider information.</t>
  </si>
  <si>
    <t>1c. Dates for the entire budget workbook is controlled by the year entered into the "Enter year being budgeted (YYYY)" field.  If you find a date that is not correct for the budget being submitted, please contact us for assistance.</t>
  </si>
  <si>
    <t>7. Added four single page for no tax levy fund page.</t>
  </si>
  <si>
    <t>11. Added Neighborhood Revitalization, LAVTR, City and County Revenue Sharing, and Slider to the input page and to the General Fund page. Also each tax levy fund pages has the NR.</t>
  </si>
  <si>
    <t>33.  Added miscellanous category to both receipt and expenditure and set warning on fund pages.</t>
  </si>
  <si>
    <t>34. Added instruction concerning the miscellaneous category and how to fix warning.</t>
  </si>
  <si>
    <t xml:space="preserve">35. Added page number for neighborhood revit on the Certificate page. </t>
  </si>
  <si>
    <t>36. Added three spaces for additional counties on the inputpryr, clerk's info, and certificate page.</t>
  </si>
  <si>
    <t xml:space="preserve">General Instructions </t>
  </si>
  <si>
    <t>Fund Names:</t>
  </si>
  <si>
    <t>Statute</t>
  </si>
  <si>
    <t>General</t>
  </si>
  <si>
    <t>Fund name for all funds with a tax levy:</t>
  </si>
  <si>
    <t>Total</t>
  </si>
  <si>
    <t xml:space="preserve"> </t>
  </si>
  <si>
    <t>County</t>
  </si>
  <si>
    <t>Page</t>
  </si>
  <si>
    <t>Clerk's</t>
  </si>
  <si>
    <t>Table of Contents:</t>
  </si>
  <si>
    <t>No.</t>
  </si>
  <si>
    <t>Use Only</t>
  </si>
  <si>
    <t>Statement of Indebtedness</t>
  </si>
  <si>
    <t>Statement of Lease-Purchases</t>
  </si>
  <si>
    <t>Fund</t>
  </si>
  <si>
    <t>K.S.A.</t>
  </si>
  <si>
    <t>Totals</t>
  </si>
  <si>
    <t>x</t>
  </si>
  <si>
    <t>Assisted by:</t>
  </si>
  <si>
    <t>County Clerk</t>
  </si>
  <si>
    <t>Amount</t>
  </si>
  <si>
    <t>Computation of Delinquency</t>
  </si>
  <si>
    <t>TOTAL</t>
  </si>
  <si>
    <t>County Treas Motor Vehicle Estimate</t>
  </si>
  <si>
    <t>County Treasurers Recreational Vehicle Estimate</t>
  </si>
  <si>
    <t>Motor Vehicle Factor</t>
  </si>
  <si>
    <t>Recreational Vehicle Factor</t>
  </si>
  <si>
    <t>Adopted Budget</t>
  </si>
  <si>
    <t>Ad Valorem Tax</t>
  </si>
  <si>
    <t>Delinquent Tax</t>
  </si>
  <si>
    <t>Motor Vehicle Tax</t>
  </si>
  <si>
    <t>Recreational Vehicle Tax</t>
  </si>
  <si>
    <t>Interest on Idle Funds</t>
  </si>
  <si>
    <t>Total Receipts</t>
  </si>
  <si>
    <t>Resources Available:</t>
  </si>
  <si>
    <t xml:space="preserve">Page No. </t>
  </si>
  <si>
    <t>Expenditures:</t>
  </si>
  <si>
    <t xml:space="preserve">  Contractual</t>
  </si>
  <si>
    <t xml:space="preserve">  Commodities</t>
  </si>
  <si>
    <t xml:space="preserve">  Capital Outlay</t>
  </si>
  <si>
    <t>Total Expenditures</t>
  </si>
  <si>
    <t>Tax Required</t>
  </si>
  <si>
    <t>%</t>
  </si>
  <si>
    <t>Page No.</t>
  </si>
  <si>
    <t xml:space="preserve">  Salaries</t>
  </si>
  <si>
    <t>Page Total</t>
  </si>
  <si>
    <t>Prior Year Actual</t>
  </si>
  <si>
    <t>Actual</t>
  </si>
  <si>
    <t xml:space="preserve">     FUND</t>
  </si>
  <si>
    <t xml:space="preserve"> Expenditures</t>
  </si>
  <si>
    <t>Tax Rate *</t>
  </si>
  <si>
    <t>Less: Transfers</t>
  </si>
  <si>
    <t>Net Expenditure</t>
  </si>
  <si>
    <t>Total Tax Levied</t>
  </si>
  <si>
    <t xml:space="preserve">Assessed </t>
  </si>
  <si>
    <t>Valuation</t>
  </si>
  <si>
    <t>Outstanding Indebtedness,</t>
  </si>
  <si>
    <t xml:space="preserve">  January 1,</t>
  </si>
  <si>
    <t>G.O. Bonds</t>
  </si>
  <si>
    <t>Revenue Bonds</t>
  </si>
  <si>
    <t xml:space="preserve">     Total</t>
  </si>
  <si>
    <t xml:space="preserve">  *Tax rates are expressed in mills</t>
  </si>
  <si>
    <t>Date</t>
  </si>
  <si>
    <t xml:space="preserve">   Amount Due</t>
  </si>
  <si>
    <t>of</t>
  </si>
  <si>
    <t>Rate</t>
  </si>
  <si>
    <t xml:space="preserve">  Date Due</t>
  </si>
  <si>
    <t>Issue</t>
  </si>
  <si>
    <t>Issued</t>
  </si>
  <si>
    <t>General Obligation:</t>
  </si>
  <si>
    <t>Total G.O. Bonds</t>
  </si>
  <si>
    <t>Revenue Bonds:</t>
  </si>
  <si>
    <t>Total Revenue Bonds</t>
  </si>
  <si>
    <t>Other:</t>
  </si>
  <si>
    <t>Total Indebtedness</t>
  </si>
  <si>
    <t>Term of</t>
  </si>
  <si>
    <t>Interest</t>
  </si>
  <si>
    <t>Other</t>
  </si>
  <si>
    <t>Principal</t>
  </si>
  <si>
    <t>Payments</t>
  </si>
  <si>
    <t xml:space="preserve">  Contract</t>
  </si>
  <si>
    <t>Contract</t>
  </si>
  <si>
    <t>Financed</t>
  </si>
  <si>
    <t>Due</t>
  </si>
  <si>
    <t>(Months)</t>
  </si>
  <si>
    <t>To print the spreadsheets, you can either print one sheet at a time or all of the sheets at once.</t>
  </si>
  <si>
    <t xml:space="preserve">K.S.A. 79-2926 requires budgets to be submited by electronic means. Contact your County Clerk for the specify instruction as to submission of the budget.  </t>
  </si>
  <si>
    <t>The following were changed to this spreadsheet on 2/23/09</t>
  </si>
  <si>
    <t>1. Instruction under Submitting of Budget ….required electronic submission.</t>
  </si>
  <si>
    <t>2. Input other tab line 77 change from Budget Summary to Budget Certificate.</t>
  </si>
  <si>
    <t>The following were changed to this spreadsheet on 6/16/09</t>
  </si>
  <si>
    <t>1. Mvalloc tab, 'Budget Tax Levy Amount for -1' links for amounts from 'inputPrYr' were changed to reflect column 'D' to column 'E'.</t>
  </si>
  <si>
    <t>forms in the appropriate locations. If any of the numbers are wrong, change them on this input sheet.</t>
  </si>
  <si>
    <t xml:space="preserve">Enter the following information from the sources shown.  This information will be entered on the budget </t>
  </si>
  <si>
    <r>
      <rPr>
        <sz val="12"/>
        <color indexed="10"/>
        <rFont val="Times New Roman"/>
        <family val="1"/>
      </rPr>
      <t>*</t>
    </r>
    <r>
      <rPr>
        <sz val="12"/>
        <rFont val="Times New Roman"/>
        <family val="1"/>
      </rPr>
      <t>Expenditures</t>
    </r>
    <r>
      <rPr>
        <sz val="12"/>
        <color indexed="10"/>
        <rFont val="Times New Roman"/>
        <family val="1"/>
      </rPr>
      <t>*</t>
    </r>
  </si>
  <si>
    <r>
      <rPr>
        <b/>
        <sz val="12"/>
        <color indexed="10"/>
        <rFont val="Times New Roman"/>
        <family val="1"/>
      </rPr>
      <t>*</t>
    </r>
    <r>
      <rPr>
        <b/>
        <sz val="12"/>
        <rFont val="Times New Roman"/>
        <family val="1"/>
      </rPr>
      <t>If amended, then use the amended figures.</t>
    </r>
    <r>
      <rPr>
        <b/>
        <sz val="12"/>
        <color indexed="10"/>
        <rFont val="Times New Roman"/>
        <family val="1"/>
      </rPr>
      <t>*</t>
    </r>
  </si>
  <si>
    <t xml:space="preserve">Budget Tax Levy </t>
  </si>
  <si>
    <t>Valuation Factor:</t>
  </si>
  <si>
    <t>Neighborhood Revitalization Subj to Rebate:</t>
  </si>
  <si>
    <t>Neighborhood Revitalization factor:</t>
  </si>
  <si>
    <t>Non-Budgeted Funds - Cities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</si>
  <si>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</si>
  <si>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12-1,117.</t>
    </r>
    <r>
      <rPr>
        <sz val="12"/>
        <color indexed="8"/>
        <rFont val="Times New Roman"/>
        <family val="1"/>
      </rPr>
      <t xml:space="preserve">  E</t>
    </r>
    <r>
      <rPr>
        <b/>
        <sz val="12"/>
        <color indexed="8"/>
        <rFont val="Times New Roman"/>
        <family val="1"/>
      </rPr>
      <t>quipment reserve fund.</t>
    </r>
    <r>
      <rPr>
        <sz val="12"/>
        <color indexed="8"/>
        <rFont val="Times New Roman"/>
        <family val="1"/>
      </rPr>
      <t xml:space="preserve">  Cities may create  an equipment reserve fund to finance the acquisition of equipment.</t>
    </r>
  </si>
  <si>
    <r>
      <t xml:space="preserve">K.S.A. </t>
    </r>
    <r>
      <rPr>
        <b/>
        <sz val="12"/>
        <color indexed="8"/>
        <rFont val="Times New Roman"/>
        <family val="1"/>
      </rPr>
      <t>12-1,118.</t>
    </r>
    <r>
      <rPr>
        <sz val="12"/>
        <color indexed="8"/>
        <rFont val="Times New Roman"/>
        <family val="1"/>
      </rPr>
      <t xml:space="preserve">  </t>
    </r>
    <r>
      <rPr>
        <b/>
        <sz val="12"/>
        <color indexed="8"/>
        <rFont val="Times New Roman"/>
        <family val="1"/>
      </rPr>
      <t>Capital improvement fund.</t>
    </r>
    <r>
      <rPr>
        <sz val="12"/>
        <color indexed="8"/>
        <rFont val="Times New Roman"/>
        <family val="1"/>
      </rPr>
      <t xml:space="preserve">  Cities with an approved a multi-year capital improvement plan may establish a capital improvements fund.</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</si>
  <si>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</si>
  <si>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12-6a13.  Special improvement funds.</t>
    </r>
    <r>
      <rPr>
        <sz val="12"/>
        <color indexed="8"/>
        <rFont val="Times New Roman"/>
        <family val="1"/>
      </rPr>
      <t xml:space="preserve">  Authorizes the creation of a special improvement fund to pay a portion of the debt service on bonds issued, planning costs, and the initial cost of improvements until temporary notes or bonds have been issued and sold.</t>
    </r>
  </si>
  <si>
    <r>
      <t xml:space="preserve">K.S.A. </t>
    </r>
    <r>
      <rPr>
        <b/>
        <sz val="12"/>
        <color indexed="8"/>
        <rFont val="Times New Roman"/>
        <family val="1"/>
      </rPr>
      <t>12-6a16.</t>
    </r>
    <r>
      <rPr>
        <sz val="12"/>
        <color indexed="8"/>
        <rFont val="Times New Roman"/>
        <family val="1"/>
      </rPr>
      <t xml:space="preserve">  </t>
    </r>
    <r>
      <rPr>
        <b/>
        <sz val="12"/>
        <color indexed="8"/>
        <rFont val="Times New Roman"/>
        <family val="1"/>
      </rPr>
      <t>Separate special improvement funds.</t>
    </r>
    <r>
      <rPr>
        <sz val="12"/>
        <color indexed="8"/>
        <rFont val="Times New Roman"/>
        <family val="1"/>
      </rPr>
      <t xml:space="preserve">  Provides that separate, suitably named special improvement funds are to be created for each improvement project or combination of improvement projects.</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</si>
  <si>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</si>
  <si>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12-1674.</t>
    </r>
    <r>
      <rPr>
        <sz val="12"/>
        <color indexed="8"/>
        <rFont val="Times New Roman"/>
        <family val="1"/>
      </rPr>
      <t xml:space="preserve">  </t>
    </r>
    <r>
      <rPr>
        <b/>
        <sz val="12"/>
        <color indexed="8"/>
        <rFont val="Times New Roman"/>
        <family val="1"/>
      </rPr>
      <t>Special services fund.</t>
    </r>
    <r>
      <rPr>
        <sz val="12"/>
        <color indexed="8"/>
        <rFont val="Times New Roman"/>
        <family val="1"/>
      </rPr>
      <t xml:space="preserve">  Cities located in counties designated as urban areas may create a special services fund to be used to pay the initial costs of improvements and for work performed as a result of failure of persons to perform duties prescribed by law or ordinance.</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</si>
  <si>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</si>
  <si>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</si>
  <si>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 xml:space="preserve">12-2615.  Risk management reserve fund. </t>
    </r>
    <r>
      <rPr>
        <sz val="12"/>
        <color indexed="8"/>
        <rFont val="Times New Roman"/>
        <family val="1"/>
      </rPr>
      <t xml:space="preserve"> The governing body of any city or county may pay costs relating to any uninsured loss from a risk management reserve fund.</t>
    </r>
  </si>
  <si>
    <r>
      <t xml:space="preserve">K.S.A. </t>
    </r>
    <r>
      <rPr>
        <b/>
        <sz val="12"/>
        <color indexed="8"/>
        <rFont val="Times New Roman"/>
        <family val="1"/>
      </rPr>
      <t>13-10,140.</t>
    </r>
    <r>
      <rPr>
        <sz val="12"/>
        <color indexed="8"/>
        <rFont val="Times New Roman"/>
        <family val="1"/>
      </rPr>
      <t xml:space="preserve">  </t>
    </r>
    <r>
      <rPr>
        <b/>
        <sz val="12"/>
        <color indexed="8"/>
        <rFont val="Times New Roman"/>
        <family val="1"/>
      </rPr>
      <t>Special improvement fund (commission form of government; population more than 150,000 and less than 200,000).</t>
    </r>
    <r>
      <rPr>
        <sz val="12"/>
        <color indexed="8"/>
        <rFont val="Times New Roman"/>
        <family val="1"/>
      </rPr>
      <t xml:space="preserve">  Authorizes certain cities operating under the commission form of government to a special improvement fund to pay the preliminary cost of any improvement to be financed by special assessments or general obligation bonds.</t>
    </r>
  </si>
  <si>
    <r>
      <t xml:space="preserve">K.S.A. </t>
    </r>
    <r>
      <rPr>
        <b/>
        <sz val="12"/>
        <color indexed="8"/>
        <rFont val="Times New Roman"/>
        <family val="1"/>
      </rPr>
      <t>13-14b12.</t>
    </r>
    <r>
      <rPr>
        <sz val="12"/>
        <color indexed="8"/>
        <rFont val="Times New Roman"/>
        <family val="1"/>
      </rPr>
      <t xml:space="preserve">  </t>
    </r>
    <r>
      <rPr>
        <b/>
        <sz val="12"/>
        <color indexed="8"/>
        <rFont val="Times New Roman"/>
        <family val="1"/>
      </rPr>
      <t>Hospital special improvement fund.</t>
    </r>
    <r>
      <rPr>
        <sz val="12"/>
        <color indexed="8"/>
        <rFont val="Times New Roman"/>
        <family val="1"/>
      </rPr>
      <t xml:space="preserve">  Provides for creation of a special improvement fund for the purpose of equipping, operating, maintaining and improving such hospital and to pay a portion of the debt service on bonds.</t>
    </r>
  </si>
  <si>
    <r>
      <t xml:space="preserve">K.S.A. </t>
    </r>
    <r>
      <rPr>
        <b/>
        <sz val="12"/>
        <color indexed="8"/>
        <rFont val="Times New Roman"/>
        <family val="1"/>
      </rPr>
      <t>14-2004.</t>
    </r>
    <r>
      <rPr>
        <sz val="12"/>
        <color indexed="8"/>
        <rFont val="Times New Roman"/>
        <family val="1"/>
      </rPr>
      <t xml:space="preserve">  P</t>
    </r>
    <r>
      <rPr>
        <b/>
        <sz val="12"/>
        <color indexed="8"/>
        <rFont val="Times New Roman"/>
        <family val="1"/>
      </rPr>
      <t>ark land acquisition fund (commission-manager cities).</t>
    </r>
    <r>
      <rPr>
        <sz val="12"/>
        <color indexed="8"/>
        <rFont val="Times New Roman"/>
        <family val="1"/>
      </rPr>
      <t xml:space="preserve">  Authorizes certain cities operating under the commission-manager form of government to establish a park land acquisition fund.</t>
    </r>
  </si>
  <si>
    <r>
      <t xml:space="preserve">K.S.A. </t>
    </r>
    <r>
      <rPr>
        <b/>
        <sz val="12"/>
        <color indexed="8"/>
        <rFont val="Times New Roman"/>
        <family val="1"/>
      </rPr>
      <t>44-505f.</t>
    </r>
    <r>
      <rPr>
        <sz val="12"/>
        <color indexed="8"/>
        <rFont val="Times New Roman"/>
        <family val="1"/>
      </rPr>
      <t xml:space="preserve">  </t>
    </r>
    <r>
      <rPr>
        <b/>
        <sz val="12"/>
        <color indexed="8"/>
        <rFont val="Times New Roman"/>
        <family val="1"/>
      </rPr>
      <t>Workers’ compensation reserve fund.</t>
    </r>
    <r>
      <rPr>
        <sz val="12"/>
        <color indexed="8"/>
        <rFont val="Times New Roman"/>
        <family val="1"/>
      </rPr>
      <t xml:space="preserve">  Provides for the creation of a reserve fund for the payment of workmen's compensation claims, judgments, and expenses.</t>
    </r>
  </si>
  <si>
    <r>
      <t xml:space="preserve">K.S.A. </t>
    </r>
    <r>
      <rPr>
        <b/>
        <sz val="12"/>
        <color indexed="8"/>
        <rFont val="Times New Roman"/>
        <family val="1"/>
      </rPr>
      <t>68-141g.</t>
    </r>
    <r>
      <rPr>
        <sz val="12"/>
        <color indexed="8"/>
        <rFont val="Times New Roman"/>
        <family val="1"/>
      </rPr>
      <t xml:space="preserve">  </t>
    </r>
    <r>
      <rPr>
        <b/>
        <sz val="12"/>
        <color indexed="8"/>
        <rFont val="Times New Roman"/>
        <family val="1"/>
      </rPr>
      <t>Special road, bridge or street building machinery, equipment and bridge building fund.</t>
    </r>
    <r>
      <rPr>
        <sz val="12"/>
        <color indexed="8"/>
        <rFont val="Times New Roman"/>
        <family val="1"/>
      </rPr>
      <t xml:space="preserve">  Authorizes a special road, bridge or street building machinery, equipment and bridge building fund and the annual transfer of not to exceed 25% of the budgeted amount of the corresponding operating fund.</t>
    </r>
  </si>
  <si>
    <r>
      <t xml:space="preserve">K.S.A. </t>
    </r>
    <r>
      <rPr>
        <b/>
        <sz val="12"/>
        <color indexed="8"/>
        <rFont val="Times New Roman"/>
        <family val="1"/>
      </rPr>
      <t>68-590.</t>
    </r>
    <r>
      <rPr>
        <sz val="12"/>
        <color indexed="8"/>
        <rFont val="Times New Roman"/>
        <family val="1"/>
      </rPr>
      <t xml:space="preserve">   </t>
    </r>
    <r>
      <rPr>
        <b/>
        <sz val="12"/>
        <color indexed="8"/>
        <rFont val="Times New Roman"/>
        <family val="1"/>
      </rPr>
      <t>Special highway improvement fund.</t>
    </r>
    <r>
      <rPr>
        <sz val="12"/>
        <color indexed="8"/>
        <rFont val="Times New Roman"/>
        <family val="1"/>
      </rPr>
      <t xml:space="preserve">  Cities and counties may create a special highway improvement fund and transfer to it annually up to 25% of the fund for roads, bridges, highways, or streets.</t>
    </r>
  </si>
  <si>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</si>
  <si>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</si>
  <si>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79-1950b.</t>
    </r>
    <r>
      <rPr>
        <sz val="12"/>
        <color indexed="8"/>
        <rFont val="Times New Roman"/>
        <family val="1"/>
      </rPr>
      <t xml:space="preserve">  </t>
    </r>
    <r>
      <rPr>
        <b/>
        <sz val="12"/>
        <color indexed="8"/>
        <rFont val="Times New Roman"/>
        <family val="1"/>
      </rPr>
      <t>Special improvement fund (cities of more than 200,000).</t>
    </r>
    <r>
      <rPr>
        <sz val="12"/>
        <color indexed="8"/>
        <rFont val="Times New Roman"/>
        <family val="1"/>
      </rPr>
      <t xml:space="preserve">  Certain cities of the first class are authorized to create a special improvement fund from which preliminary costs associated with such improvements may be paid.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</si>
  <si>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Cities may create non-budgeted funds for any gifts or bequests, a revolving fund for the operation of a municipal airport, and for repair, replacement, or addition to recreation facilities.</t>
    </r>
  </si>
  <si>
    <t>Transfers - Cities</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</si>
  <si>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</si>
  <si>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 xml:space="preserve">12-110d.  Transfer to special ambulance or emergency medical service equipment fund. </t>
    </r>
    <r>
      <rPr>
        <sz val="12"/>
        <color indexed="8"/>
        <rFont val="Times New Roman"/>
        <family val="1"/>
      </rPr>
      <t xml:space="preserve"> May transfer annually any funds received from a tax levy specifically authorized to be made for ambulance or emergency medical service, to a special reserve fund for replacement of ambulance or emergency medical service equipment.</t>
    </r>
  </si>
  <si>
    <r>
      <t>K.S.A. 12-1,117</t>
    </r>
    <r>
      <rPr>
        <sz val="12"/>
        <rFont val="Times New Roman"/>
        <family val="1"/>
      </rPr>
      <t>.</t>
    </r>
    <r>
      <rPr>
        <b/>
        <sz val="12"/>
        <rFont val="Times New Roman"/>
        <family val="1"/>
      </rPr>
      <t xml:space="preserve">  Transfer to equipment reserve fund.</t>
    </r>
    <r>
      <rPr>
        <sz val="12"/>
        <rFont val="Times New Roman"/>
        <family val="1"/>
      </rPr>
      <t xml:space="preserve">  T</t>
    </r>
    <r>
      <rPr>
        <sz val="12"/>
        <color indexed="8"/>
        <rFont val="Times New Roman"/>
        <family val="1"/>
      </rPr>
      <t xml:space="preserve">o finance new and replacement equipment moneys may be budgeted and transferred to an equipment reserve fund from any source which may be lawfully utilized for such purposes. </t>
    </r>
  </si>
  <si>
    <r>
      <t>K.S.A. 12-1,118</t>
    </r>
    <r>
      <rPr>
        <sz val="12"/>
        <rFont val="Times New Roman"/>
        <family val="1"/>
      </rPr>
      <t>.</t>
    </r>
    <r>
      <rPr>
        <b/>
        <sz val="12"/>
        <rFont val="Times New Roman"/>
        <family val="1"/>
      </rPr>
      <t xml:space="preserve">  Transfer to capital improvements fund.</t>
    </r>
    <r>
      <rPr>
        <sz val="12"/>
        <rFont val="Times New Roman"/>
        <family val="1"/>
      </rPr>
      <t xml:space="preserve">  Authorizes transfers </t>
    </r>
    <r>
      <rPr>
        <sz val="12"/>
        <color indexed="8"/>
        <rFont val="Times New Roman"/>
        <family val="1"/>
      </rPr>
      <t>to the capital improvements fund</t>
    </r>
    <r>
      <rPr>
        <sz val="12"/>
        <rFont val="Times New Roman"/>
        <family val="1"/>
      </rPr>
      <t xml:space="preserve"> from the general fund and </t>
    </r>
    <r>
      <rPr>
        <sz val="12"/>
        <color indexed="8"/>
        <rFont val="Times New Roman"/>
        <family val="1"/>
      </rPr>
      <t>from other city funds lawfully available for improvement purposes.</t>
    </r>
  </si>
  <si>
    <r>
      <t>K.S.A. 12-1,119</t>
    </r>
    <r>
      <rPr>
        <sz val="12"/>
        <rFont val="Times New Roman"/>
        <family val="1"/>
      </rPr>
      <t>.</t>
    </r>
    <r>
      <rPr>
        <b/>
        <sz val="12"/>
        <rFont val="Times New Roman"/>
        <family val="1"/>
      </rPr>
      <t xml:space="preserve">  Transfer to street and highway fund.</t>
    </r>
    <r>
      <rPr>
        <sz val="12"/>
        <rFont val="Times New Roman"/>
        <family val="1"/>
      </rPr>
      <t xml:space="preserve">  M</t>
    </r>
    <r>
      <rPr>
        <sz val="12"/>
        <color indexed="8"/>
        <rFont val="Times New Roman"/>
        <family val="1"/>
      </rPr>
      <t>oneys in the general or other operating funds of the city budgeted for street and highway purposes may be transferred of to the consolidated street and highway fund.</t>
    </r>
  </si>
  <si>
    <r>
      <t xml:space="preserve">K.S.A. </t>
    </r>
    <r>
      <rPr>
        <b/>
        <sz val="12"/>
        <color indexed="8"/>
        <rFont val="Times New Roman"/>
        <family val="1"/>
      </rPr>
      <t>12-631o</t>
    </r>
    <r>
      <rPr>
        <sz val="12"/>
        <color indexed="8"/>
        <rFont val="Times New Roman"/>
        <family val="1"/>
      </rPr>
      <t xml:space="preserve">.  </t>
    </r>
    <r>
      <rPr>
        <b/>
        <sz val="12"/>
        <color indexed="8"/>
        <rFont val="Times New Roman"/>
        <family val="1"/>
      </rPr>
      <t xml:space="preserve">Transfer to sewerage reserve fund.  </t>
    </r>
    <r>
      <rPr>
        <sz val="12"/>
        <color indexed="8"/>
        <rFont val="Times New Roman"/>
        <family val="1"/>
      </rPr>
      <t>Authorizes the transfer of sewer system revenue to a sewer system reserve fund for the future maintenance and operation of its system and for the construction of improvements and expansions to such system.</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</si>
  <si>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Transfer from sewerage system reserve fund.</t>
    </r>
    <r>
      <rPr>
        <sz val="12"/>
        <color indexed="8"/>
        <rFont val="Times New Roman"/>
        <family val="1"/>
      </rPr>
      <t xml:space="preserve">  Allows the retransfer of sewerage system reserve fund dollars to the fund from which it was originally transferred.</t>
    </r>
  </si>
  <si>
    <r>
      <t xml:space="preserve">K.S.A. </t>
    </r>
    <r>
      <rPr>
        <b/>
        <sz val="11"/>
        <color indexed="8"/>
        <rFont val="Times New Roman"/>
        <family val="1"/>
      </rPr>
      <t>12-6a16.</t>
    </r>
    <r>
      <rPr>
        <sz val="11"/>
        <color indexed="8"/>
        <rFont val="Times New Roman"/>
        <family val="1"/>
      </rPr>
      <t xml:space="preserve">  </t>
    </r>
    <r>
      <rPr>
        <b/>
        <sz val="11"/>
        <color indexed="8"/>
        <rFont val="Times New Roman"/>
        <family val="1"/>
      </rPr>
      <t>Transfer from fund for special improvements.</t>
    </r>
    <r>
      <rPr>
        <sz val="11"/>
        <color indexed="8"/>
        <rFont val="Times New Roman"/>
        <family val="1"/>
      </rPr>
      <t xml:space="preserve">  Authorizes a separate fund for each improvement or combination of improvements to be credited with the proceeds from sale of bonds and temporary notes and any other moneys appropriated thereto, and upon completion of the improvement the balance, if any, shall be transferred and credited to the city bond and interest fund.</t>
    </r>
  </si>
  <si>
    <r>
      <t>K.S.A. 12-825d</t>
    </r>
    <r>
      <rPr>
        <sz val="12"/>
        <rFont val="Times New Roman"/>
        <family val="1"/>
      </rPr>
      <t>.</t>
    </r>
    <r>
      <rPr>
        <b/>
        <sz val="12"/>
        <rFont val="Times New Roman"/>
        <family val="1"/>
      </rPr>
      <t xml:space="preserve">  Transfer from utility fund.</t>
    </r>
    <r>
      <rPr>
        <sz val="12"/>
        <rFont val="Times New Roman"/>
        <family val="1"/>
      </rPr>
      <t xml:space="preserve">  Surplus </t>
    </r>
    <r>
      <rPr>
        <sz val="12"/>
        <color indexed="8"/>
        <rFont val="Times New Roman"/>
        <family val="1"/>
      </rPr>
      <t>revenue derived from a utility may be transferred to the general fund or any other fund or such surplus, in whole or in part, may be set aside in a depreciation reserve fund of the utility.</t>
    </r>
  </si>
  <si>
    <r>
      <t>K.S.A. 12-17,118</t>
    </r>
    <r>
      <rPr>
        <sz val="12"/>
        <color indexed="8"/>
        <rFont val="Times New Roman"/>
        <family val="1"/>
      </rPr>
      <t xml:space="preserve">.  </t>
    </r>
    <r>
      <rPr>
        <b/>
        <sz val="12"/>
        <color indexed="8"/>
        <rFont val="Times New Roman"/>
        <family val="1"/>
      </rPr>
      <t xml:space="preserve">Transfer to and from neighborhood revitalization fund. </t>
    </r>
    <r>
      <rPr>
        <sz val="12"/>
        <color indexed="8"/>
        <rFont val="Times New Roman"/>
        <family val="1"/>
      </rPr>
      <t xml:space="preserve"> Authorizes transfers to a neighborhood revitalization fund from any source which may be lawfully utilized to finance redevelopment of designated revitalization areas and dilapidated structures and to provide rebates such purposes.</t>
    </r>
  </si>
  <si>
    <r>
      <t xml:space="preserve">K.S.A. </t>
    </r>
    <r>
      <rPr>
        <b/>
        <sz val="12"/>
        <color indexed="8"/>
        <rFont val="Times New Roman"/>
        <family val="1"/>
      </rPr>
      <t>12-2615</t>
    </r>
    <r>
      <rPr>
        <sz val="12"/>
        <color indexed="8"/>
        <rFont val="Times New Roman"/>
        <family val="1"/>
      </rPr>
      <t>.</t>
    </r>
    <r>
      <rPr>
        <b/>
        <sz val="12"/>
        <color indexed="8"/>
        <rFont val="Times New Roman"/>
        <family val="1"/>
      </rPr>
      <t xml:space="preserve">  Transfer to risk management reserve fund.</t>
    </r>
    <r>
      <rPr>
        <sz val="12"/>
        <color indexed="8"/>
        <rFont val="Times New Roman"/>
        <family val="1"/>
      </rPr>
      <t xml:space="preserve">  To cover costs relating to any uninsured loss moneys may be paid into a risk management reserve fund or special reserve fund from any source which may be utilized for such purposes, including transfers from the general fund, in reasonable proportion to the estimated cost of self insuring the risk losses covered by such funds. </t>
    </r>
  </si>
  <si>
    <r>
      <t xml:space="preserve">K.S.A. </t>
    </r>
    <r>
      <rPr>
        <b/>
        <sz val="12"/>
        <color indexed="8"/>
        <rFont val="Times New Roman"/>
        <family val="1"/>
      </rPr>
      <t>14-2004</t>
    </r>
    <r>
      <rPr>
        <sz val="12"/>
        <color indexed="8"/>
        <rFont val="Times New Roman"/>
        <family val="1"/>
      </rPr>
      <t>.</t>
    </r>
    <r>
      <rPr>
        <b/>
        <sz val="12"/>
        <color indexed="8"/>
        <rFont val="Times New Roman"/>
        <family val="1"/>
      </rPr>
      <t xml:space="preserve">  Transfer by certain cities to a park land acquisition fund.</t>
    </r>
    <r>
      <rPr>
        <sz val="12"/>
        <color indexed="8"/>
        <rFont val="Times New Roman"/>
        <family val="1"/>
      </rPr>
      <t xml:space="preserve">  Authorizes second class cities with the commission-manager form of government to establish a park land acquisition fund and to transfer up to $5,000 a year from its general fund to such fund to acquire land for park purposes.  Not more than $25,000 shall be accumulated in said fund at any time.</t>
    </r>
  </si>
  <si>
    <r>
      <t xml:space="preserve">K.S.A. </t>
    </r>
    <r>
      <rPr>
        <b/>
        <sz val="12"/>
        <color indexed="8"/>
        <rFont val="Times New Roman"/>
        <family val="1"/>
      </rPr>
      <t>44-505f</t>
    </r>
    <r>
      <rPr>
        <sz val="12"/>
        <color indexed="8"/>
        <rFont val="Times New Roman"/>
        <family val="1"/>
      </rPr>
      <t>.</t>
    </r>
    <r>
      <rPr>
        <b/>
        <sz val="12"/>
        <color indexed="8"/>
        <rFont val="Times New Roman"/>
        <family val="1"/>
      </rPr>
      <t xml:space="preserve">  Transfer to worker’s compensation reserve fund.</t>
    </r>
    <r>
      <rPr>
        <sz val="12"/>
        <color indexed="8"/>
        <rFont val="Times New Roman"/>
        <family val="1"/>
      </rPr>
      <t xml:space="preserve">  Where a city chooses to act as a self-insurer under the worker's compensation act it is authorized to make transfers to a worker’s compensation reserve fund from any other funds in reasonable proportion to the estimated cost of providing benefits to employees compensated from such funds.</t>
    </r>
  </si>
  <si>
    <r>
      <t>K.S.A. 68-141g</t>
    </r>
    <r>
      <rPr>
        <sz val="12"/>
        <color indexed="8"/>
        <rFont val="Times New Roman"/>
        <family val="1"/>
      </rPr>
      <t xml:space="preserve">.  </t>
    </r>
    <r>
      <rPr>
        <b/>
        <sz val="12"/>
        <color indexed="8"/>
        <rFont val="Times New Roman"/>
        <family val="1"/>
      </rPr>
      <t>Transfer to special machinery or equipment fund.</t>
    </r>
    <r>
      <rPr>
        <sz val="12"/>
        <color indexed="8"/>
        <rFont val="Times New Roman"/>
        <family val="1"/>
      </rPr>
      <t xml:space="preserve">  Authorizes an annual transfer, not to exceed 25%, from the road, bridge or street fund to a special road, bridge or street building machinery, equipment and bridge building fund. </t>
    </r>
  </si>
  <si>
    <r>
      <t>K.S.A. 68-590.</t>
    </r>
    <r>
      <rPr>
        <sz val="12"/>
        <rFont val="Times New Roman"/>
        <family val="1"/>
      </rPr>
      <t xml:space="preserve"> </t>
    </r>
    <r>
      <rPr>
        <sz val="12"/>
        <color indexed="8"/>
        <rFont val="Times New Roman"/>
        <family val="1"/>
      </rPr>
      <t xml:space="preserve"> </t>
    </r>
    <r>
      <rPr>
        <b/>
        <sz val="12"/>
        <color indexed="8"/>
        <rFont val="Times New Roman"/>
        <family val="1"/>
      </rPr>
      <t>Transfer to special highway improvement fund.</t>
    </r>
    <r>
      <rPr>
        <sz val="12"/>
        <color indexed="8"/>
        <rFont val="Times New Roman"/>
        <family val="1"/>
      </rPr>
      <t xml:space="preserve">  Authorizes the transfer each year from the fund or division thereof budgeted for roads, bridges, highways or streets an amount not to exceed 25% of such fund to a special highway improvement fund.</t>
    </r>
  </si>
  <si>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</si>
  <si>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t xml:space="preserve">           General Fund - Detail Page 2</t>
  </si>
  <si>
    <t>Page 2 -Total</t>
  </si>
  <si>
    <t>Page 1 -Total</t>
  </si>
  <si>
    <t xml:space="preserve">Grand Total </t>
  </si>
  <si>
    <t>The following were changed to this spreadsheet on 10/6/09</t>
  </si>
  <si>
    <t>1. Cert tab line 14, added 'If amended….'</t>
  </si>
  <si>
    <t>2. Created TransferStatute tab</t>
  </si>
  <si>
    <t>3. Created NonBudFunds tab</t>
  </si>
  <si>
    <t xml:space="preserve">4. Instructions tab added 6b for the TransferStatute tab
</t>
  </si>
  <si>
    <t>5. Added 'See Tab A-E' for violations</t>
  </si>
  <si>
    <t xml:space="preserve">6. Changed each fund page removing 'Yes' and 'No' replacing with 'See Tab' for possible violation </t>
  </si>
  <si>
    <t>7. Nonbud tab changed Net Violation to July 1</t>
  </si>
  <si>
    <t>8. Instruction tab changed 9i to k for 'See Tab'</t>
  </si>
  <si>
    <t>9. Gen tab added eight additional detail lines and linked to the detail page</t>
  </si>
  <si>
    <t>10. Certificate tab moved the Assisted By: and added more lines for governing body signatures</t>
  </si>
  <si>
    <t>Date:</t>
  </si>
  <si>
    <t>Time:</t>
  </si>
  <si>
    <t>Location:</t>
  </si>
  <si>
    <t>City Hall</t>
  </si>
  <si>
    <t>Available at:</t>
  </si>
  <si>
    <t>Examples</t>
  </si>
  <si>
    <t>August 12, 2010</t>
  </si>
  <si>
    <t>7:00 PM or 7:00 AM</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</si>
  <si>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</si>
  <si>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</si>
  <si>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</si>
  <si>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</si>
  <si>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</si>
  <si>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</si>
  <si>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</si>
  <si>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</si>
  <si>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</si>
  <si>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</si>
  <si>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</si>
  <si>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</si>
  <si>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</si>
  <si>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</si>
  <si>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</si>
  <si>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</si>
  <si>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</si>
  <si>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</si>
  <si>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</si>
  <si>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Another option is to consider whether your fund shares</t>
  </si>
  <si>
    <t>expenditures with another fund.  For example, your electric</t>
  </si>
  <si>
    <t>and water funds may split salaries between the two funds.  If</t>
  </si>
  <si>
    <t>one of those funds is in trouble, you might be able to allocate</t>
  </si>
  <si>
    <t>a little more in salaries to the healthy fund in order to</t>
  </si>
  <si>
    <t>eliminate the violation (be sure, though, that the</t>
  </si>
  <si>
    <t>healthy fund has sufficient budget authority and cash</t>
  </si>
  <si>
    <t>available).</t>
  </si>
  <si>
    <t>The shifting of expenditures between funds, as described in</t>
  </si>
  <si>
    <t>the preceding paragraph, can be accomplished between any funds</t>
  </si>
  <si>
    <t>that share expenses.</t>
  </si>
  <si>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</si>
  <si>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</si>
  <si>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</si>
  <si>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</si>
  <si>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</si>
  <si>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</si>
  <si>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</si>
  <si>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</si>
  <si>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</si>
  <si>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</si>
  <si>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</si>
  <si>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</si>
  <si>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</si>
  <si>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</si>
  <si>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</si>
  <si>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</si>
  <si>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</si>
  <si>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</si>
  <si>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</si>
  <si>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</si>
  <si>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</si>
  <si>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</si>
  <si>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</si>
  <si>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</si>
  <si>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</si>
  <si>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</si>
  <si>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</si>
  <si>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</si>
  <si>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</si>
  <si>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</si>
  <si>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</si>
  <si>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</si>
  <si>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</si>
  <si>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</si>
  <si>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</si>
  <si>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</si>
  <si>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</si>
  <si>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</si>
  <si>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</si>
  <si>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</si>
  <si>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</si>
  <si>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</si>
  <si>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</si>
  <si>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</si>
  <si>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</si>
  <si>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</si>
  <si>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</si>
  <si>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</si>
  <si>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</si>
  <si>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</si>
  <si>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</si>
  <si>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</si>
  <si>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</si>
  <si>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</si>
  <si>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</si>
  <si>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</si>
  <si>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</si>
  <si>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</si>
  <si>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</si>
  <si>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</si>
  <si>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</si>
  <si>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</si>
  <si>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</si>
  <si>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</si>
  <si>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</si>
  <si>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</si>
  <si>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</si>
  <si>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</si>
  <si>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</si>
  <si>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</si>
  <si>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</si>
  <si>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</si>
  <si>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</si>
  <si>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</si>
  <si>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</si>
  <si>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</si>
  <si>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</si>
  <si>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</si>
  <si>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</si>
  <si>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</si>
  <si>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</si>
  <si>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</si>
  <si>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</si>
  <si>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</si>
  <si>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</si>
  <si>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</si>
  <si>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</si>
  <si>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</si>
  <si>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</si>
  <si>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</si>
  <si>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</si>
  <si>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</si>
  <si>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</si>
  <si>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</si>
  <si>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</si>
  <si>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</si>
  <si>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</si>
  <si>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</si>
  <si>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</si>
  <si>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</si>
  <si>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</si>
  <si>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</si>
  <si>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one of those funds is in trouble you might be able to allocate</t>
  </si>
  <si>
    <t>eliminate the potential violation (be sure, though, that</t>
  </si>
  <si>
    <t>the healthy fund has sufficient budget authority and cash</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</si>
  <si>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</si>
  <si>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</si>
  <si>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</si>
  <si>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</si>
  <si>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</si>
  <si>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</si>
  <si>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</si>
  <si>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</si>
  <si>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</si>
  <si>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</si>
  <si>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</si>
  <si>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</si>
  <si>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</si>
  <si>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</si>
  <si>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</si>
  <si>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</si>
  <si>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</si>
  <si>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</si>
  <si>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</si>
  <si>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</si>
  <si>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</si>
  <si>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</si>
  <si>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</si>
  <si>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</si>
  <si>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</si>
  <si>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</si>
  <si>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</si>
  <si>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</si>
  <si>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</si>
  <si>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</si>
  <si>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</si>
  <si>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</si>
  <si>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</si>
  <si>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</si>
  <si>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</si>
  <si>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</si>
  <si>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</si>
  <si>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</si>
  <si>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</si>
  <si>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</si>
  <si>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</si>
  <si>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</si>
  <si>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</si>
  <si>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</si>
  <si>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</si>
  <si>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</si>
  <si>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</si>
  <si>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</si>
  <si>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</si>
  <si>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</si>
  <si>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</si>
  <si>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</si>
  <si>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</si>
  <si>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</si>
  <si>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</si>
  <si>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</si>
  <si>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</si>
  <si>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</si>
  <si>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</si>
  <si>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</si>
  <si>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</si>
  <si>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</si>
  <si>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</si>
  <si>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</si>
  <si>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</si>
  <si>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</si>
  <si>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</si>
  <si>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</si>
  <si>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</si>
  <si>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</si>
  <si>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</si>
  <si>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</si>
  <si>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t>The following were changed to this spreadsheet on 12/08/09</t>
  </si>
  <si>
    <t>1. Instruction tab, added step 3 for 'inputBudSum'</t>
  </si>
  <si>
    <t>2. Added tab 'inputBudSum'</t>
  </si>
  <si>
    <t>3. Changed Budget Summary replacing the green areas for date/time/location so info comes from inputBudSum tab</t>
  </si>
  <si>
    <r>
      <t xml:space="preserve">3a.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</si>
  <si>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 xml:space="preserve">4.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</si>
  <si>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t xml:space="preserve">4a.  If someone other than a municipal employee assists in preparing the budget, please enter the person's or firm's name and address in the area provided. </t>
  </si>
  <si>
    <t>4b. The Certificate page has a statement 'Is an Ordinance ...?' which will either show 'Yes' or 'No'. This statement compares the Certificate total Ad Valorem Tax to Computation to Determine Limit line 15. If a 'Yes' appears then an ordinance is required to be completed, published, and a copy of the published ordinance attached to the budget. No action is required if a 'No' appears.</t>
  </si>
  <si>
    <r>
      <t>5a.</t>
    </r>
    <r>
      <rPr>
        <b/>
        <sz val="12"/>
        <rFont val="Times New Roman"/>
        <family val="1"/>
      </rPr>
      <t xml:space="preserve"> Note</t>
    </r>
    <r>
      <rPr>
        <sz val="12"/>
        <rFont val="Times New Roman"/>
        <family val="1"/>
      </rPr>
      <t xml:space="preserve">: 2007 Supplement for K.S.A. 79-2925b provides debt service to include repayment of the principle and interest upon bonded indebtedness, temporary notes, and no-fund warrants. If the city wants to include debts for temporary notes and no-fund warrants (shown on a separate fund page and not included with debt service fund page) the Computation to Determine Limit Page lines 2 and 14 will have to be changed to include these debts in the max levy computation. In order to do this, the protection must be taken off of the page and the amounts changed. You </t>
    </r>
    <r>
      <rPr>
        <u/>
        <sz val="12"/>
        <rFont val="Times New Roman"/>
        <family val="1"/>
      </rPr>
      <t>are not required</t>
    </r>
    <r>
      <rPr>
        <sz val="12"/>
        <rFont val="Times New Roman"/>
        <family val="1"/>
      </rPr>
      <t xml:space="preserve"> to add the additional debts into the computation of the max levy amount.</t>
    </r>
  </si>
  <si>
    <t>5b. Print the Ordinance page (ordinance) if the max levy is exceeded.  Complete the printed ordinance and have it published.  Ensure the published ordinance is attached to the budget.</t>
  </si>
  <si>
    <t>7. The Schedule of Transfer (transfers) is compiled from the individual fund pages.  Be sure to provide the statute that authorizes the transfer. If 'Home Rule' is applied, then provide the chartered ordinance number in place of the statute. Before submitting the budget, suggest printing off the Schedule of Transfers page and tracing entries to each fund page.</t>
  </si>
  <si>
    <r>
      <t xml:space="preserve">8.  Statement of Indebtedness (debt) must show all the debt owed or proposed to be issued.  The general obligation and revenue bond totals for the budget year is linked to the Budget Summary.  </t>
    </r>
    <r>
      <rPr>
        <b/>
        <sz val="12"/>
        <rFont val="Times New Roman"/>
        <family val="1"/>
      </rPr>
      <t>If the city does not have any debt, then enter 'None' on the first line.</t>
    </r>
  </si>
  <si>
    <r>
      <t>9.  Statement of Conditional Lease, Lease-Purchases and Certificate of Participation (lpform) must be completed for all transactions which the city intends to own the equipment at the end of the lease period.  Principal Balance Due for the actual year is linked to the Budget Summary.</t>
    </r>
    <r>
      <rPr>
        <b/>
        <sz val="12"/>
        <rFont val="Times New Roman"/>
        <family val="1"/>
      </rPr>
      <t xml:space="preserve"> If the city does not have any leases, then enter 'None' on the first line.</t>
    </r>
  </si>
  <si>
    <t>12a. At the bottom of the page is a green shaded area, enter the page number.</t>
  </si>
  <si>
    <t>4. Deleted lines on Budget Summary reference in #3</t>
  </si>
  <si>
    <t>the Neighborhood Revitalization Rebate table.</t>
  </si>
  <si>
    <t>The following were changed to this spreadsheet on 12/28/09</t>
  </si>
  <si>
    <t xml:space="preserve">7a. Transfers total are at the bottom of the schedule which are linked to the Budget Summary page. </t>
  </si>
  <si>
    <t xml:space="preserve">7b.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</si>
  <si>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t>7c. TransferStatutes tab provides statute reference for transfers which are not already identified.</t>
  </si>
  <si>
    <r>
      <t>Adjustments</t>
    </r>
    <r>
      <rPr>
        <b/>
        <sz val="12"/>
        <color indexed="10"/>
        <rFont val="Times New Roman"/>
        <family val="1"/>
      </rPr>
      <t>*</t>
    </r>
  </si>
  <si>
    <t>*Note:</t>
  </si>
  <si>
    <t>Expenditure</t>
  </si>
  <si>
    <t>Receipt</t>
  </si>
  <si>
    <t xml:space="preserve">Fund Transferred </t>
  </si>
  <si>
    <t>Fund Transferred</t>
  </si>
  <si>
    <t>1. Nhood tab added note for computing table</t>
  </si>
  <si>
    <t>The following were changed to this spreadsheet on 1/05/10</t>
  </si>
  <si>
    <t>1. Instruction tab added line 7b concerning schedule of transfers adjustments</t>
  </si>
  <si>
    <t>2. Transfers tab changed note so to identify current and proposed columns for non-budgeted funds transfers</t>
  </si>
  <si>
    <t>3. Transfers tab changed first two column heading adding 'expenditures' and 'receipts'</t>
  </si>
  <si>
    <t>The following were changed to this spreadsheet on 6/29/10</t>
  </si>
  <si>
    <t>1. Computation Tab - Item #9 Total Estimated Valuation July 1, -1 changed cell E28 ref from D48 to B13</t>
  </si>
  <si>
    <t>2. GenDetail Tab - changed print area to print both 7b and 7c pages versus 7b only</t>
  </si>
  <si>
    <t>Official Title:</t>
  </si>
  <si>
    <t>City Clerk, City Treasurer, Mayor</t>
  </si>
  <si>
    <t>Budget Authority</t>
  </si>
  <si>
    <t>for Expenditures</t>
  </si>
  <si>
    <r>
      <t>K.S.A. 2-1318.  Transfer to noxious weed capital outlay fund.</t>
    </r>
    <r>
      <rPr>
        <sz val="11"/>
        <rFont val="Times New Roman"/>
        <family val="1"/>
      </rPr>
      <t xml:space="preserve">  </t>
    </r>
    <r>
      <rPr>
        <sz val="11"/>
        <color indexed="8"/>
        <rFont val="Times New Roman"/>
        <family val="1"/>
      </rPr>
      <t>Any moneys remaining in the noxious weed eradication fund at the end of any year for which a levy is made may be transferred to the noxious weed capital outlay fund.</t>
    </r>
  </si>
  <si>
    <r>
      <t>K.S.A. 12-16,102.  Transfer to employee benefits contribution trust fund.</t>
    </r>
    <r>
      <rPr>
        <sz val="12"/>
        <color indexed="8"/>
        <rFont val="Times New Roman"/>
        <family val="1"/>
      </rPr>
      <t xml:space="preserve">  May transfer to employee benefits trust fund from any source that may be lawfully utilized for the purposes stated in the ordinance or resolution creating such trust funds, including transfers from employee benefit funds established for other postemployment benefits.</t>
    </r>
  </si>
  <si>
    <r>
      <t xml:space="preserve">K.S.A. </t>
    </r>
    <r>
      <rPr>
        <b/>
        <sz val="12"/>
        <color indexed="8"/>
        <rFont val="Times New Roman"/>
        <family val="1"/>
      </rPr>
      <t>13-1269.</t>
    </r>
    <r>
      <rPr>
        <sz val="12"/>
        <color indexed="8"/>
        <rFont val="Times New Roman"/>
        <family val="1"/>
      </rPr>
      <t xml:space="preserve">  </t>
    </r>
    <r>
      <rPr>
        <b/>
        <sz val="12"/>
        <color indexed="8"/>
        <rFont val="Times New Roman"/>
        <family val="1"/>
      </rPr>
      <t>Transfer from certain utility funds by cities over 100,000.</t>
    </r>
    <r>
      <rPr>
        <sz val="12"/>
        <color indexed="8"/>
        <rFont val="Times New Roman"/>
        <family val="1"/>
      </rPr>
      <t xml:space="preserve">  Authorizes transfers to governmental operating funds from operating revenue of electric-light and water utilities.  Utilities must not have GO bond debt; or, if GO bond debt exists, debt service fund must be adequately capitalized.  Limitations per K.S.A. 13-1271, 13-1272 on amounts that may be transferred.</t>
    </r>
  </si>
  <si>
    <r>
      <t xml:space="preserve">K.S.A. </t>
    </r>
    <r>
      <rPr>
        <b/>
        <sz val="12"/>
        <color indexed="8"/>
        <rFont val="Times New Roman"/>
        <family val="1"/>
      </rPr>
      <t>13-1270.</t>
    </r>
    <r>
      <rPr>
        <sz val="12"/>
        <color indexed="8"/>
        <rFont val="Times New Roman"/>
        <family val="1"/>
      </rPr>
      <t xml:space="preserve">  </t>
    </r>
    <r>
      <rPr>
        <b/>
        <sz val="12"/>
        <color indexed="8"/>
        <rFont val="Times New Roman"/>
        <family val="1"/>
      </rPr>
      <t>Transfer to debt service fund from certain utility funds by cities over 100,000.</t>
    </r>
    <r>
      <rPr>
        <sz val="12"/>
        <color indexed="8"/>
        <rFont val="Times New Roman"/>
        <family val="1"/>
      </rPr>
      <t xml:space="preserve">  Cities with more than 100,000 in population may transfer operating revenue of  electric-light and water utilities to debt service funds moneys sufficient to pay outstanding general obligation bond principal and interest.</t>
    </r>
  </si>
  <si>
    <r>
      <t xml:space="preserve">K.S.A. </t>
    </r>
    <r>
      <rPr>
        <b/>
        <sz val="12"/>
        <color indexed="8"/>
        <rFont val="Times New Roman"/>
        <family val="1"/>
      </rPr>
      <t>13-14b12.  Transfer to hospital special improvement fund.</t>
    </r>
    <r>
      <rPr>
        <sz val="12"/>
        <color indexed="8"/>
        <rFont val="Times New Roman"/>
        <family val="1"/>
      </rPr>
      <t xml:space="preserve">  The board may transfer annually such amounts as it deems advisable to a special improvement fund to be used for the purpose of purchasing major items of equipment and making capital improvements to the hospital.  The amount on hand in such fund shall at no time exceed [$250,000].</t>
    </r>
  </si>
  <si>
    <t>Does miscellaneous exceed 10% of Total Exp</t>
  </si>
  <si>
    <t>Does miscellaneous exceed 10% of Total Rec</t>
  </si>
  <si>
    <r>
      <t xml:space="preserve"> Subtotal detail (</t>
    </r>
    <r>
      <rPr>
        <sz val="12"/>
        <color indexed="10"/>
        <rFont val="Times New Roman"/>
        <family val="1"/>
      </rPr>
      <t>S</t>
    </r>
    <r>
      <rPr>
        <sz val="12"/>
        <color indexed="10"/>
        <rFont val="Times New Roman"/>
        <family val="1"/>
      </rPr>
      <t>hould agree with detail</t>
    </r>
    <r>
      <rPr>
        <sz val="12"/>
        <rFont val="Times New Roman"/>
        <family val="1"/>
      </rPr>
      <t>)</t>
    </r>
  </si>
  <si>
    <t>Non-Appropriated Balance</t>
  </si>
  <si>
    <t>Total Expenditure/Non-Appr Balance</t>
  </si>
  <si>
    <t>Delinquent Comp Rate:</t>
  </si>
  <si>
    <t>Desired Carryover Amount:</t>
  </si>
  <si>
    <t>Estimated Mill Rate Impact:</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</si>
  <si>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</si>
  <si>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</si>
  <si>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</si>
  <si>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</si>
  <si>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</si>
  <si>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</si>
  <si>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</si>
  <si>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</si>
  <si>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</si>
  <si>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</si>
  <si>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</si>
  <si>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</si>
  <si>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</si>
  <si>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</si>
  <si>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</si>
  <si>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</si>
  <si>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</si>
  <si>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</si>
  <si>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</si>
  <si>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</si>
  <si>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</si>
  <si>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</si>
  <si>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</si>
  <si>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</si>
  <si>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</si>
  <si>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</si>
  <si>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</si>
  <si>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</si>
  <si>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</si>
  <si>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</si>
  <si>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</si>
  <si>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</si>
  <si>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</si>
  <si>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</si>
  <si>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</si>
  <si>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</si>
  <si>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</si>
  <si>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</si>
  <si>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</si>
  <si>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</si>
  <si>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</si>
  <si>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</si>
  <si>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</si>
  <si>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</si>
  <si>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</si>
  <si>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</si>
  <si>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</si>
  <si>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</si>
  <si>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</si>
  <si>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</si>
  <si>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</si>
  <si>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</si>
  <si>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</si>
  <si>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First Step:</t>
  </si>
  <si>
    <t>(value of 1 mill)</t>
  </si>
  <si>
    <t>(increased prop. tax)</t>
  </si>
  <si>
    <t>(increase mill rate)</t>
  </si>
  <si>
    <t xml:space="preserve">(value of the home) </t>
  </si>
  <si>
    <t>Second Step:</t>
  </si>
  <si>
    <t>(assessed value)</t>
  </si>
  <si>
    <t xml:space="preserve">(assessed value) </t>
  </si>
  <si>
    <t>(increase tax)</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</si>
  <si>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</si>
  <si>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</si>
  <si>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</si>
  <si>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</si>
  <si>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</si>
  <si>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</si>
  <si>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</si>
  <si>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</si>
  <si>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</si>
  <si>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(value of the home)</t>
  </si>
  <si>
    <t>(residential %)</t>
  </si>
  <si>
    <t>(total mill rate)</t>
  </si>
  <si>
    <t>(impact, total mills)</t>
  </si>
  <si>
    <r>
      <t>K.S.A. 12-16,102.</t>
    </r>
    <r>
      <rPr>
        <sz val="12"/>
        <color indexed="8"/>
        <rFont val="Times New Roman"/>
        <family val="1"/>
      </rPr>
      <t xml:space="preserve">  </t>
    </r>
    <r>
      <rPr>
        <b/>
        <sz val="12"/>
        <color indexed="8"/>
        <rFont val="Times New Roman"/>
        <family val="1"/>
      </rPr>
      <t>Employee benefits trust funds.</t>
    </r>
    <r>
      <rPr>
        <sz val="12"/>
        <color indexed="8"/>
        <rFont val="Times New Roman"/>
        <family val="1"/>
      </rPr>
      <t xml:space="preserve">  For the purpose of holding and investing the assets of other postemployment benefits funds any taxing subdivision may establish one or more trust funds.</t>
    </r>
  </si>
  <si>
    <t>The estimated value of one mill would be:</t>
  </si>
  <si>
    <t>Change in Ad Valorem Tax Revenue:</t>
  </si>
  <si>
    <t>What Mill Rate Would Be Desired?</t>
  </si>
  <si>
    <r>
      <t xml:space="preserve">1.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fund page . </t>
    </r>
    <r>
      <rPr>
        <b/>
        <sz val="12"/>
        <rFont val="Times New Roman"/>
        <family val="1"/>
      </rPr>
      <t/>
    </r>
  </si>
  <si>
    <t xml:space="preserve">2. The information entered into the Input Other (inputOth) worksheet is obtained from the County Clerk, County Treasurer, League of Municipalities "Budget Tips", and the budget from two years ago (the year for the actual year column of the current budget).  After the information has been entered, please verify the data is correct. </t>
  </si>
  <si>
    <t>4c. The Certificate page allows for up to four counties assessed valuation.</t>
  </si>
  <si>
    <t>1. All pages removed the revision date</t>
  </si>
  <si>
    <t>2. All tax levy fund pages reduced the columns and revised the bottom of pages for see tabs</t>
  </si>
  <si>
    <t>3. Instruction tab added lines 4d (cert-rec), 11b (fund-rec), 14(project carryover), 14a (Desired Carryover), and 15 (protection)</t>
  </si>
  <si>
    <t>The following were changed to this spreadsheet on 9/7/10</t>
  </si>
  <si>
    <t xml:space="preserve">Totals </t>
  </si>
  <si>
    <t>4. Inputpryr tab added lines 25 and 26 for 'Other Fund Not Considered' and Recreation fund</t>
  </si>
  <si>
    <t>5. Certificate tab change the 'Expenditure' heading by adding  'Budget Authority for Expenditures'</t>
  </si>
  <si>
    <t>6. Certificate tab change 'Total' to 'Totals for City' and added another line for 'Totals Includes Recreation'</t>
  </si>
  <si>
    <t>7. Certificate tab added line for 'Recreation', statute, expenditure, ad valorem, and levy</t>
  </si>
  <si>
    <t>8. Certificate tab created check to determine if levy for recreation is exceeded</t>
  </si>
  <si>
    <t xml:space="preserve">9. Certificate tab added additional lines for the governing body signatures </t>
  </si>
  <si>
    <t>10. Certificate tab add the year in the block for 'County Clerk Use Only'</t>
  </si>
  <si>
    <t>11. Certificate tab moved the 'County Clerk's Use Only' from center to right</t>
  </si>
  <si>
    <t>12. Debt tab expand the 'Date' columns and removed two lines from the 'Other Section'</t>
  </si>
  <si>
    <t>13. Gen tab added revenue line for 'Compensation Use'</t>
  </si>
  <si>
    <t>14. Gen tab added table for 'Projection of Cash Carryover'</t>
  </si>
  <si>
    <t>15. Gen tab added table for 'Desired Carryover'</t>
  </si>
  <si>
    <t>16. Gen tab redefine print que to not include tables</t>
  </si>
  <si>
    <t>17. Gen tab hid the comp for see tabs</t>
  </si>
  <si>
    <t>18. DebtService tab reduced the Debt Service fund page and added the Recreation fund</t>
  </si>
  <si>
    <t>19. DebtService tab added table for 'Projected Carryover'</t>
  </si>
  <si>
    <t>20. DebtService tab redefine print que and hid comp for see tabs</t>
  </si>
  <si>
    <t>21. Levy page9 to page13 tab hid comp for see tabs</t>
  </si>
  <si>
    <t>22. Summ tab added line after total for Recreation fund and put a check to determine if levy was exceeded</t>
  </si>
  <si>
    <t>23. Summ tab merged cells above the 'City Official Title' and center a name if used</t>
  </si>
  <si>
    <t>24. Summ tab link the City Official Title to inputBudSum tab</t>
  </si>
  <si>
    <t>25. Summ tab changed proposed year expenditure column to 'Budget Authority (Includes Carryover)</t>
  </si>
  <si>
    <t>26. Summ tab added four tables to the right of the form</t>
  </si>
  <si>
    <t>27. InputBudSum tab added line for City Official Title and provided an example</t>
  </si>
  <si>
    <t>28. Revised TransferStatutes and NonBudFunds tabs</t>
  </si>
  <si>
    <t>29. Added Mill Rate Computation tab</t>
  </si>
  <si>
    <t>30. Summ tab redefine print que</t>
  </si>
  <si>
    <t>31. Add Helpful Links tab</t>
  </si>
  <si>
    <t>32. Certificate page deleted state block</t>
  </si>
  <si>
    <t>33. Added four more no tax levy fund pages</t>
  </si>
  <si>
    <t>34. Inputoth tab changed Actual Delinquency tax from -2 to -3</t>
  </si>
  <si>
    <t>Third Step:</t>
  </si>
  <si>
    <t>Result:</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</si>
  <si>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</si>
  <si>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</si>
  <si>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</si>
  <si>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</si>
  <si>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</si>
  <si>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</si>
  <si>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</si>
  <si>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The following were changed to this spreadsheet on 3/21/11</t>
  </si>
  <si>
    <t>1. Debt Service tab corrected cell G34 from E21 to E20</t>
  </si>
  <si>
    <t>The following were changed to this spreadsheet on 4/19/11</t>
  </si>
  <si>
    <t>1. Summ tab changed proposed year expenditure column to 'Budget Authority for Expenditures'</t>
  </si>
  <si>
    <t xml:space="preserve">Prior Year </t>
  </si>
  <si>
    <t>Current Year</t>
  </si>
  <si>
    <t xml:space="preserve">Proposed Budget </t>
  </si>
  <si>
    <t xml:space="preserve">Current Year </t>
  </si>
  <si>
    <t>WORKSHEET FOR STATE GRANT-IN-AID TO PUBLIC LIBRARIES AND</t>
  </si>
  <si>
    <t>REGIONAL LIBRARY SYSTEMS</t>
  </si>
  <si>
    <t>Two tests are used to determine eligibility for State Library Grant.  If the grant is approved, then the municipality's library will be paid the grant on February 15 of  each year.</t>
  </si>
  <si>
    <t>First test:</t>
  </si>
  <si>
    <t>Proposed Year</t>
  </si>
  <si>
    <t>TOTAL TAXES</t>
  </si>
  <si>
    <t>Difference in Total Taxes:</t>
  </si>
  <si>
    <t>Qualify for grant:</t>
  </si>
  <si>
    <t>Second test:</t>
  </si>
  <si>
    <t>Assessed Valuation</t>
  </si>
  <si>
    <t>Did Assessed Valuation Decrease?</t>
  </si>
  <si>
    <t>Levy Rate</t>
  </si>
  <si>
    <t>Difference in Levy Rate:</t>
  </si>
  <si>
    <t>Overall does the municipality qualify for a grant?</t>
  </si>
  <si>
    <t>If the municipality would not have qualified for a grant, please see the below narrative for assistance from the State Library.</t>
  </si>
  <si>
    <t>Proposed Budget Year – Possible Loss of Library State Aid</t>
  </si>
  <si>
    <t xml:space="preserve">Welcome. You have been directed to this section because the amount of revenue from qualifying </t>
  </si>
  <si>
    <t xml:space="preserve">In municipalities supporting a library the municipality must budget as much or more for the </t>
  </si>
  <si>
    <t xml:space="preserve">budget year as received in the current year for its library to be eligible for a state grant-in-aid </t>
  </si>
  <si>
    <t>through the State Library of Kansas.</t>
  </si>
  <si>
    <t>Is this a violation?</t>
  </si>
  <si>
    <t>No. However, it may cost the library valuable supplemental state—and in some cases, regional—</t>
  </si>
  <si>
    <t>revenue.</t>
  </si>
  <si>
    <t>Why did this happen?</t>
  </si>
  <si>
    <r>
      <t xml:space="preserve">To answer this question, review K.S.A. 75-2556 </t>
    </r>
    <r>
      <rPr>
        <i/>
        <sz val="12"/>
        <rFont val="Times New Roman"/>
        <family val="1"/>
      </rPr>
      <t>et seq.</t>
    </r>
    <r>
      <rPr>
        <sz val="12"/>
        <rFont val="Times New Roman"/>
        <family val="1"/>
      </rPr>
      <t xml:space="preserve"> to see how it applies to your library fund. </t>
    </r>
  </si>
  <si>
    <t xml:space="preserve">No public library is eligible for a grant-in-aid if the total amount of current year ad valorem </t>
  </si>
  <si>
    <t xml:space="preserve">property tax, delinquent tax, and MV, recreational vehicle, and 16/20M tax is less than the total </t>
  </si>
  <si>
    <t>amount produced from such sources for the previous year.</t>
  </si>
  <si>
    <t xml:space="preserve">The statute only includes the library fund. If a separate library employee fund exists, it is not </t>
  </si>
  <si>
    <t>included in the calculation.</t>
  </si>
  <si>
    <t xml:space="preserve">Note also that although you are eligible to expend carryover from the previous year, the statute </t>
  </si>
  <si>
    <t>does not include carryover and it is not considered for determination of eligibility.</t>
  </si>
  <si>
    <t>Who determines eligibility?</t>
  </si>
  <si>
    <r>
      <t xml:space="preserve">K.S.A. 75-2556 </t>
    </r>
    <r>
      <rPr>
        <i/>
        <sz val="12"/>
        <rFont val="Times New Roman"/>
        <family val="1"/>
      </rPr>
      <t>et seq.</t>
    </r>
    <r>
      <rPr>
        <sz val="12"/>
        <rFont val="Times New Roman"/>
        <family val="1"/>
      </rPr>
      <t xml:space="preserve"> makes the State Library of Kansas responsible for determining eligibility </t>
    </r>
  </si>
  <si>
    <t>and distribution of library grants-in-aid.</t>
  </si>
  <si>
    <t>Can this issue be corrected at this time?</t>
  </si>
  <si>
    <t>Clerk the library fund can be fixed before the submission of the budget to the County Clerk.</t>
  </si>
  <si>
    <t xml:space="preserve">First, review the budget summary page to ensure that the ad valorem tax mill rate for Proposed </t>
  </si>
  <si>
    <t xml:space="preserve">If the mill rate is lower, check to see if the lesser amount is due to a decline in the assessed valuation. </t>
  </si>
  <si>
    <t xml:space="preserve">K.S.A. 75-2556(c) says that if the assessed valuation decreases the library will remain eligible as </t>
  </si>
  <si>
    <t xml:space="preserve">long as the ad valorem tax mill rate has not been reduced below the mill rate imposed for such </t>
  </si>
  <si>
    <t xml:space="preserve">blank. If an amount is budgeted for the Proposed Budget Year it may improve the total to help </t>
  </si>
  <si>
    <t xml:space="preserve">the library’s eligibility as well as provide the library with authority under the cash basis law to </t>
  </si>
  <si>
    <t>spend any delinquent taxes it receives.</t>
  </si>
  <si>
    <t>Further options</t>
  </si>
  <si>
    <t xml:space="preserve">The State Library can continue eligibility if after evaluation of all circumstances it is determined </t>
  </si>
  <si>
    <t>that the maintenance of local tax support for the operations of the library is being met.</t>
  </si>
  <si>
    <t xml:space="preserve">These circumstances might include authorized transfer from the other funds, additional tax funds spent </t>
  </si>
  <si>
    <t xml:space="preserve">for support of the library that do not appear in the library fund, or special circumstances in this </t>
  </si>
  <si>
    <t xml:space="preserve">budget year. The State Library requires a letter of certification from the municipality to continue </t>
  </si>
  <si>
    <t>eligibility. For more information contact the State Library of Kansas at 785.296.3296, or e-mail:</t>
  </si>
  <si>
    <t>Items</t>
  </si>
  <si>
    <t xml:space="preserve"> Purchased</t>
  </si>
  <si>
    <t xml:space="preserve">Type of </t>
  </si>
  <si>
    <t xml:space="preserve"> Debt</t>
  </si>
  <si>
    <t xml:space="preserve">Allocation of Motor, Recreational, 16/20M Vehicle Tax </t>
  </si>
  <si>
    <t>12-1220</t>
  </si>
  <si>
    <t>Library</t>
  </si>
  <si>
    <t>Delinquency % used in this budget will be shown on all fund pages with a tax levy**</t>
  </si>
  <si>
    <t>January</t>
  </si>
  <si>
    <t>February</t>
  </si>
  <si>
    <t>Official Name:</t>
  </si>
  <si>
    <t>March</t>
  </si>
  <si>
    <t>April</t>
  </si>
  <si>
    <t>May</t>
  </si>
  <si>
    <t>Must be at least 10 days between date published and hearing held.</t>
  </si>
  <si>
    <t>June</t>
  </si>
  <si>
    <t>July</t>
  </si>
  <si>
    <t>August</t>
  </si>
  <si>
    <t>September</t>
  </si>
  <si>
    <t>October</t>
  </si>
  <si>
    <t>November</t>
  </si>
  <si>
    <t>December</t>
  </si>
  <si>
    <r>
      <t xml:space="preserve">Computation of Example:  </t>
    </r>
    <r>
      <rPr>
        <sz val="11"/>
        <rFont val="Cambria"/>
        <family val="1"/>
      </rPr>
      <t>$312,000,000 (assessed valuation) / 1000 = $312,000 (value of one mill)</t>
    </r>
  </si>
  <si>
    <t>In this example, one mill for the municipality will generate $312,000 in taxes.</t>
  </si>
  <si>
    <t>$312,000,000 / 1000 = $312,000 (example #1)</t>
  </si>
  <si>
    <t>$50,000 / $312,000 = .160 mills (example #2)</t>
  </si>
  <si>
    <t>$11,500 (assessed value) x .160 (mill rate) / 1000 = $1.84</t>
  </si>
  <si>
    <t>The increase in property tax for a $100,000 home will be $1.84</t>
  </si>
  <si>
    <r>
      <t>K.S.A. 14-568.  Sewer Fund Surplus Transfers to Sinking Fund and General Fund.</t>
    </r>
    <r>
      <rPr>
        <sz val="12"/>
        <rFont val="Times New Roman"/>
        <family val="1"/>
      </rPr>
      <t xml:space="preserve">  Surplus revenue in the sewer fund it shall be semi-annually transferred to a sinking fund and, when such surplus fund is not needed for operations or bonded indebtedness, it may be transferred to the general fund.</t>
    </r>
  </si>
  <si>
    <t>Email:</t>
  </si>
  <si>
    <t>Expenditures Must Be Changed by:</t>
  </si>
  <si>
    <t>Mill Rate Comparison</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</si>
  <si>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</si>
  <si>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</si>
  <si>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t>The following were changed to this spreadsheet on 8/16/11</t>
  </si>
  <si>
    <t>1. Instructions tab, added #1c for adjusting ad valorem taxes</t>
  </si>
  <si>
    <t>2. Instructions tab, changed #3 for adding name of official for Budget Summary page</t>
  </si>
  <si>
    <t>3. Instructions tab, added #3b for new max published date on 'inputBudSum' tab</t>
  </si>
  <si>
    <t>4. Instructions tab, changed #6 to remove slider column and computations</t>
  </si>
  <si>
    <t>5. Instructions tab, added #10 for explain about 'Library Grant' tab and Library fund page</t>
  </si>
  <si>
    <t>6. Instructions tab, changed #11 now Debt Service and Library funds are on the same tab (hard coded Cert &amp; Summary</t>
  </si>
  <si>
    <t>7. Instructions tab, added #11a for numbering of the General and General Detail pages</t>
  </si>
  <si>
    <t>8. Instructions tab, changed #11b to reflect all tax levy pages with 'Projected Carryover' table</t>
  </si>
  <si>
    <t>9. Instructions tab, changed #11c to reflect all tax levy pages with 'Desired Carryover' and warning about delinquency rate</t>
  </si>
  <si>
    <t>10. Instructions tab, added #11d for last year mill rate, proposed total mill rate, and last year total mill rate</t>
  </si>
  <si>
    <t>11. Instructions tab, changed #11e to remove page number 7 as the General page number might change if Library is used</t>
  </si>
  <si>
    <t>12. Instructions tab, changed #12b added name of official</t>
  </si>
  <si>
    <t>13. Instructions tab, added #12c for computation of one mill</t>
  </si>
  <si>
    <t>14. Instructions tab, changed #12d added the name of the tables and warning about delinquency rate if used</t>
  </si>
  <si>
    <t>15. Instructions tab, changed #12e added the name of the table and warning about delinquency rate if used</t>
  </si>
  <si>
    <t>16. Instructions tab, changed #12f added that not signing the Budget Summary page will not require to be reprinted</t>
  </si>
  <si>
    <t xml:space="preserve">17. InputPrYr tab, added column for adjusting ad valorem taxes to reflect a better picture of actual taxes received, allow a rate to be used to compute the new amount, and links the new amounts to the appropriate fund page, if used, otherwise used the original amounts </t>
  </si>
  <si>
    <t>18. InputPrYr tab, hard coded Library in the tax levy funds section along with General and Debt Service</t>
  </si>
  <si>
    <t>19. InputOth tab, section for Computation of Delinquency, change to % from rate and provided example, link to all tax levy fund page will show as %  vs rate</t>
  </si>
  <si>
    <t>20. InputBudSum tab, added official name and latest date for publication of Notice of Budget Hearing</t>
  </si>
  <si>
    <t xml:space="preserve">21. Cert tab, under Table of Content, added Computation to Determine State Library Grant </t>
  </si>
  <si>
    <t>22. Cert tab, right justifyed figures versus having figures centered</t>
  </si>
  <si>
    <t>23. Cert tab, put spaces between governing body signatures block</t>
  </si>
  <si>
    <t>24. Mvalloc tab, removed slider column and computation for slider</t>
  </si>
  <si>
    <t>25. All tax levy fund pages removed the link from Mvalloc tab for slider and converted cells to blank</t>
  </si>
  <si>
    <t xml:space="preserve">26. Debt and Lpform tab added a blank new column at left side and formated 'type of debt' and 'item purchased'  </t>
  </si>
  <si>
    <t>27. All fund pages changed the year column heading, example 'Prior Year Actual' to 'Prior Year' second line 'Actual YYYY'</t>
  </si>
  <si>
    <t xml:space="preserve">28. Change out the 'Mill Rate Computation' tab so to agree with the website </t>
  </si>
  <si>
    <t>29. Added KSA 14-568 to transfer tab</t>
  </si>
  <si>
    <t>30. All tax levy fund pages added 'Mill Rate Comparison' table</t>
  </si>
  <si>
    <t>31. Created new Library Grant tab for determining if the library would be approved for a grant</t>
  </si>
  <si>
    <t>32. Change Debt Svs tab to DebtSvs-Library</t>
  </si>
  <si>
    <t>33. DebtSvs-Library tab, for Library fund page added message for qualify for grant or see Library Grant tab</t>
  </si>
  <si>
    <t>34. Certificate tab added a place for the email address of the assisted by</t>
  </si>
  <si>
    <t>35. General tab, made page number 7 if no library or page number 8 if has library</t>
  </si>
  <si>
    <t>This spreadsheet was designed for a City having up to four counties providing budget information. The City4 spreadsheets has General Fund page (general), Debt Service and Library fund (DebtSvs-Library), 10 tax levy pages (levy page9 to levy page13), Special Highway page (Sp Hiway), 15 no levy fund pages (nolevypage15 to nolevypage21 with one under the Sp Hiway tab), 4 single no levy pages (SinNoLevy18-SinNolevy21), and 20 non-budgeted fund pages (NonBudA to NonBudD).</t>
  </si>
  <si>
    <t xml:space="preserve">3. The 'inputBudSum' tab is used to place information on the Budget Summary. On this tab you will need to key in the following information: Name of Person presenting the budget, Title of Person, date the budget hearing will be held, time of the hearing, location of the budget hearing, and a place whereas the taxpayers can obtain a copy of the budget.  </t>
  </si>
  <si>
    <t>3b. Once a date has been entered in the Date block, the following statement will appear: 'Latest date for notice to be published in your newspaper'.  Please ensure to take into consideration as to when your newspaper is published when arriving at the hearing date.</t>
  </si>
  <si>
    <t>5. The information for the Computation to Determine Limit Page (computation) comes from data on the Input Page (inputOth) and Debt Service Page (DebtSvs-Library). If there is incorrect information on the Computation Page, please correct the source of the information from either the Input Page or Debt Service fund page. If you can not correct the error, please call us for assistance.</t>
  </si>
  <si>
    <t xml:space="preserve">6.  Motor Vehicle Allocation (Mvalloc) information comes from the input pages (inputPrYr and inputOth).  Once calculated, the motor allocation information are linked to the applicable fund pages. If information concerning the table are not correct, please do not change the table, but rather correct the information on the input worksheets.  </t>
  </si>
  <si>
    <r>
      <t>10. Library Grant tab is linked with the Library fund page.  This table information comes directly off the Library fund page and Budget Summary page which is used to determine if the municipality qualifies for a State grant. If qualify, then the Library fund page will indicate '</t>
    </r>
    <r>
      <rPr>
        <sz val="12"/>
        <color indexed="10"/>
        <rFont val="Times New Roman"/>
        <family val="1"/>
      </rPr>
      <t>Qualifies for State Library Grant</t>
    </r>
    <r>
      <rPr>
        <sz val="12"/>
        <rFont val="Times New Roman"/>
        <family val="1"/>
      </rPr>
      <t>' and if not, then indicates to '</t>
    </r>
    <r>
      <rPr>
        <sz val="12"/>
        <color indexed="10"/>
        <rFont val="Times New Roman"/>
        <family val="1"/>
      </rPr>
      <t>See 'Library Grant' tab</t>
    </r>
    <r>
      <rPr>
        <sz val="12"/>
        <rFont val="Times New Roman"/>
        <family val="1"/>
      </rPr>
      <t xml:space="preserve"> for further assistance.  If the Library fund page is used, then the Certificate page will reflect in the Table of Contents the requirement of 'Computation to Determine State Library Grant' which </t>
    </r>
    <r>
      <rPr>
        <b/>
        <u/>
        <sz val="12"/>
        <rFont val="Times New Roman"/>
        <family val="1"/>
      </rPr>
      <t>is required</t>
    </r>
    <r>
      <rPr>
        <sz val="12"/>
        <rFont val="Times New Roman"/>
        <family val="1"/>
      </rPr>
      <t xml:space="preserve"> to be attached to the budget. For those printing paper copies of the budget, only the table will be printed off.  Please note:  For those you do not have a Library fund page, </t>
    </r>
    <r>
      <rPr>
        <sz val="12"/>
        <color indexed="10"/>
        <rFont val="Times New Roman"/>
        <family val="1"/>
      </rPr>
      <t>no action is required</t>
    </r>
    <r>
      <rPr>
        <sz val="12"/>
        <rFont val="Times New Roman"/>
        <family val="1"/>
      </rPr>
      <t xml:space="preserve"> and the table does not become part of the budget.</t>
    </r>
  </si>
  <si>
    <t>11.  The spreadsheet has individual fund sheets for General Fund (general), Debt Service and Library tax levy fund (DebtSvs-Library), ten levy pages (levy page8 and levy page13), Special Highway Fund (SpecHwy), fifteen no levy fund pages (no levy page15 to no levy page21, and one fund below on Special Highway), four single no levy fund page (SinNoLevy18 to 21), and four non-budgeted fund pages (NonBudA thru d).  Only complete the fund pages needed.  When the fund pages are completed, the totals will be linked to the Certificate and Budget Summary pages.</t>
  </si>
  <si>
    <t>11a. General Fund page and General Fund Detail page number are linked.   If the municipality has a Library Fund, the Library Grant page becomes number 7 and the General Fund page would be numbered 8, otherwise the General would be 7.</t>
  </si>
  <si>
    <r>
      <t>11b. On all tax levy fund pages, we have placed '</t>
    </r>
    <r>
      <rPr>
        <i/>
        <sz val="12"/>
        <rFont val="Times New Roman"/>
        <family val="1"/>
      </rPr>
      <t>Projected Carryover</t>
    </r>
    <r>
      <rPr>
        <sz val="12"/>
        <rFont val="Times New Roman"/>
        <family val="1"/>
      </rPr>
      <t>'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r>
  </si>
  <si>
    <r>
      <t>11c. On all tax levy fund page, we have placed '</t>
    </r>
    <r>
      <rPr>
        <i/>
        <sz val="12"/>
        <rFont val="Times New Roman"/>
        <family val="1"/>
      </rPr>
      <t>Desired Carryover</t>
    </r>
    <r>
      <rPr>
        <sz val="12"/>
        <rFont val="Times New Roman"/>
        <family val="1"/>
      </rPr>
      <t xml:space="preserve">' which you can place a desired carryover amount and the table will show the mill rate impact along with the expenditure adjustments required to reach the desired carryover.  </t>
    </r>
    <r>
      <rPr>
        <b/>
        <sz val="12"/>
        <color indexed="10"/>
        <rFont val="Times New Roman"/>
        <family val="1"/>
      </rPr>
      <t>Note:</t>
    </r>
    <r>
      <rPr>
        <sz val="12"/>
        <rFont val="Times New Roman"/>
        <family val="1"/>
      </rPr>
      <t xml:space="preserve"> if a </t>
    </r>
    <r>
      <rPr>
        <u/>
        <sz val="12"/>
        <color indexed="10"/>
        <rFont val="Times New Roman"/>
        <family val="1"/>
      </rPr>
      <t>delinquency rate is used</t>
    </r>
    <r>
      <rPr>
        <sz val="12"/>
        <rFont val="Times New Roman"/>
        <family val="1"/>
      </rPr>
      <t>, the table might have you do several adjustments to get the desired result or close to the desire amount.</t>
    </r>
  </si>
  <si>
    <r>
      <t>11d. On all tax levy fund pages, we have placed '</t>
    </r>
    <r>
      <rPr>
        <i/>
        <sz val="12"/>
        <rFont val="Times New Roman"/>
        <family val="1"/>
      </rPr>
      <t>Mill Rate Comparison</t>
    </r>
    <r>
      <rPr>
        <sz val="12"/>
        <rFont val="Times New Roman"/>
        <family val="1"/>
      </rPr>
      <t>' table so you can compare the propose fund mill rate to the current fund mill rate and compare the total proposed mill rate to the total current mill rate. These figures are provided to assist with the determining appropriate mill rate for the proposed budgeted year.</t>
    </r>
  </si>
  <si>
    <t>11e. General Detail page a and b (gendetail) is used to show detail expenditures for the General Fund Departments.  If used, each department name and expenditures are linked to the General Fund page. The 'Page Totals' on the detail page should agree to the 'Sub-totals' as found on the General Fund page 7. NO department transfers should be shown on the detail page. Transfers for the departments with like transfers should be added together and then shown on the General Fund page as single line items. For example: if several departments have a transfer for equipment reserve, the total of all equipment reserve transfers should be shown on the General Fund page as 'Transfer to Equipment Reserve' for each budgeted year.</t>
  </si>
  <si>
    <r>
      <t xml:space="preserve">11f.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t>
    </r>
    <r>
      <rPr>
        <b/>
        <sz val="12"/>
        <rFont val="Times New Roman"/>
        <family val="1"/>
      </rPr>
      <t>step 13</t>
    </r>
    <r>
      <rPr>
        <sz val="12"/>
        <rFont val="Times New Roman"/>
        <family val="1"/>
      </rPr>
      <t xml:space="preserve"> for instructions for the neighborhood revitalization rebate for the proposed budget year. </t>
    </r>
  </si>
  <si>
    <r>
      <t xml:space="preserve">11g.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xml:space="preserve">'.  In order to remove the statement and return the block to normal, you must reduce the amount to either 10% or less. </t>
    </r>
    <r>
      <rPr>
        <b/>
        <u/>
        <sz val="12"/>
        <rFont val="Times New Roman"/>
        <family val="1"/>
      </rPr>
      <t>Note</t>
    </r>
    <r>
      <rPr>
        <sz val="12"/>
        <rFont val="Times New Roman"/>
        <family val="1"/>
      </rPr>
      <t>: the proposed column miscellaneous receipt also takes into consideration the amount of ad valorem taxes in determining the 10% Rule.</t>
    </r>
  </si>
  <si>
    <r>
      <t xml:space="preserve">11h. The Debt Service fund page (DebtSvs-Library) can contain all debts owe by the city and the amounts should agree with the Statement of Indebtedness amounts.  Debts that are pledged from a revenue stream should have enough funds transferred into the Debt Service fund to cover the bond principle and interest for these debts. </t>
    </r>
    <r>
      <rPr>
        <b/>
        <sz val="12"/>
        <rFont val="Times New Roman"/>
        <family val="1"/>
      </rPr>
      <t>Note</t>
    </r>
    <r>
      <rPr>
        <sz val="12"/>
        <rFont val="Times New Roman"/>
        <family val="1"/>
      </rPr>
      <t xml:space="preserve">, the debts pledged from revenue streams are not required to be included in the Debt Service fund page, but can be paid from the fund the revenue stream is located in. Additionally, if the city has No Fund warrants, these can be included in the Debt Service fund page and levy taxes for this debt. </t>
    </r>
    <r>
      <rPr>
        <b/>
        <sz val="12"/>
        <rFont val="Times New Roman"/>
        <family val="1"/>
      </rPr>
      <t>Note</t>
    </r>
    <r>
      <rPr>
        <sz val="12"/>
        <rFont val="Times New Roman"/>
        <family val="1"/>
      </rPr>
      <t xml:space="preserve">, No Fund warrants </t>
    </r>
    <r>
      <rPr>
        <b/>
        <u/>
        <sz val="12"/>
        <rFont val="Times New Roman"/>
        <family val="1"/>
      </rPr>
      <t>are not required</t>
    </r>
    <r>
      <rPr>
        <sz val="12"/>
        <rFont val="Times New Roman"/>
        <family val="1"/>
      </rPr>
      <t xml:space="preserve"> to be included in the Debt Service and may still have a No Fund page to account for them if the city desires.</t>
    </r>
  </si>
  <si>
    <t xml:space="preserve">11i. The 4 single no levy pages (SinNoLevy18 to SinNoLevy21) are for a fund that has numerous lines for receipts or expenditures that does not fit on one of the other no levy pages.  Additional lines may be added as needed. </t>
  </si>
  <si>
    <r>
      <t>11j.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</si>
  <si>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11k. The non-budgeted pages in the last column, the last two boxes should have the same figures as the last box take totals from the right side with the next to last box takes totals from the bottom.</t>
  </si>
  <si>
    <r>
      <t xml:space="preserve">11l. All levy fund pages have a Non-Appropriated Balance block. K.S.A. 79-2927 allows the city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will appear and the block will turn red.  In order to remove this warning message, you must reduce the non-appropriate figure.</t>
    </r>
  </si>
  <si>
    <r>
      <t>11m.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</si>
  <si>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11n.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</si>
  <si>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11o. All no-tax levy fund pages for the proposed budget year will have an edit on the unencumbered cash balance. If the cash balance is negative, then the block turns red and statement '</t>
    </r>
    <r>
      <rPr>
        <b/>
        <sz val="12"/>
        <color indexed="10"/>
        <rFont val="Times New Roman"/>
        <family val="1"/>
      </rPr>
      <t>See Tab E</t>
    </r>
    <r>
      <rPr>
        <sz val="12"/>
        <rFont val="Times New Roman"/>
        <family val="1"/>
      </rPr>
      <t xml:space="preserve">' will appear. </t>
    </r>
  </si>
  <si>
    <t xml:space="preserve">12.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</si>
  <si>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r>
      <t>12b. The table '</t>
    </r>
    <r>
      <rPr>
        <i/>
        <sz val="12"/>
        <rFont val="Times New Roman"/>
        <family val="1"/>
      </rPr>
      <t>Estimated Value Of One Mill</t>
    </r>
    <r>
      <rPr>
        <sz val="12"/>
        <rFont val="Times New Roman"/>
        <family val="1"/>
      </rPr>
      <t xml:space="preserve">' to show what 1 mill rate would generate in dollars for the municipality.  </t>
    </r>
  </si>
  <si>
    <r>
      <t>12c. Tables '</t>
    </r>
    <r>
      <rPr>
        <i/>
        <sz val="12"/>
        <rFont val="Times New Roman"/>
        <family val="1"/>
      </rPr>
      <t>What The Mill Rate The Same As</t>
    </r>
    <r>
      <rPr>
        <sz val="12"/>
        <rFont val="Times New Roman"/>
        <family val="1"/>
      </rPr>
      <t>' and '</t>
    </r>
    <r>
      <rPr>
        <i/>
        <sz val="12"/>
        <rFont val="Times New Roman"/>
        <family val="1"/>
      </rPr>
      <t>Impact On Keeping The Same Mill Rate</t>
    </r>
    <r>
      <rPr>
        <sz val="12"/>
        <rFont val="Times New Roman"/>
        <family val="1"/>
      </rPr>
      <t xml:space="preserve">', that shows the impact if the previous mill rate is used for the proposed budgeted year.  To achieve this mill rate, the tax levy fund expenditures will need to be changed by the amount shown.  Depending upon the number of tax levy funds involved, the change can be made to one fund, combination of funds, or all of the tax levy fund expenditures.  </t>
    </r>
    <r>
      <rPr>
        <sz val="12"/>
        <color indexed="10"/>
        <rFont val="Times New Roman"/>
        <family val="1"/>
      </rPr>
      <t>Note</t>
    </r>
    <r>
      <rPr>
        <sz val="12"/>
        <rFont val="Times New Roman"/>
        <family val="1"/>
      </rPr>
      <t xml:space="preserve">: If a </t>
    </r>
    <r>
      <rPr>
        <u/>
        <sz val="12"/>
        <rFont val="Times New Roman"/>
        <family val="1"/>
      </rPr>
      <t>delinquency rate is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b/>
        <sz val="12"/>
        <color indexed="10"/>
        <rFont val="Times New Roman"/>
        <family val="1"/>
      </rPr>
      <t>is not</t>
    </r>
    <r>
      <rPr>
        <sz val="12"/>
        <rFont val="Times New Roman"/>
        <family val="1"/>
      </rPr>
      <t xml:space="preserve"> required to be used, but as a tool to assist in budgeting. </t>
    </r>
  </si>
  <si>
    <r>
      <t>12d. The table '</t>
    </r>
    <r>
      <rPr>
        <i/>
        <sz val="12"/>
        <rFont val="Times New Roman"/>
        <family val="1"/>
      </rPr>
      <t>What Mill Rate Would Be Desired</t>
    </r>
    <r>
      <rPr>
        <sz val="12"/>
        <rFont val="Times New Roman"/>
        <family val="1"/>
      </rPr>
      <t xml:space="preserve">', whereas a municipality can create a desired mill rate.  If a municipality has future plans to make a large purchase, project, or just would like a little more unencumbered cash balance, this table will show the amount of ad valorem taxes needed to reach its needs and amount of adjustments to the tax levy fund expenditures to reach this desired mill rate.  This table could also be used to see the impact if the municipality would like to lower the mill rate. To use this table, simply enter in the green area the desired mill rate.  </t>
    </r>
    <r>
      <rPr>
        <sz val="12"/>
        <color indexed="10"/>
        <rFont val="Times New Roman"/>
        <family val="1"/>
      </rPr>
      <t>Note</t>
    </r>
    <r>
      <rPr>
        <sz val="12"/>
        <rFont val="Times New Roman"/>
        <family val="1"/>
      </rPr>
      <t xml:space="preserve">: If a </t>
    </r>
    <r>
      <rPr>
        <u/>
        <sz val="12"/>
        <rFont val="Times New Roman"/>
        <family val="1"/>
      </rPr>
      <t>delinquency rate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sz val="12"/>
        <color indexed="10"/>
        <rFont val="Times New Roman"/>
        <family val="1"/>
      </rPr>
      <t>is not</t>
    </r>
    <r>
      <rPr>
        <sz val="12"/>
        <rFont val="Times New Roman"/>
        <family val="1"/>
      </rPr>
      <t xml:space="preserve"> required to be used, but as a tool to assist in budgeting. </t>
    </r>
  </si>
  <si>
    <r>
      <t xml:space="preserve">12e.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</si>
  <si>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 xml:space="preserve">12f. Once the 'Notice of Budget Hearing' has been printed in the local newspaper, please review the notice to ensure the information was correctly printed and readable.  If the information is not correct, the Notice may need to be republished, and may delay the submission of the budget to the County Clerk. If this occurs and causes you to miss the August 25 deadline, please contact your County Clerk to inform of them of the delay. </t>
  </si>
  <si>
    <r>
      <t xml:space="preserve">13. Neighborhood Revitalization (nhood) should be completed </t>
    </r>
    <r>
      <rPr>
        <b/>
        <u/>
        <sz val="12"/>
        <rFont val="Times New Roman"/>
        <family val="1"/>
      </rPr>
      <t>only after</t>
    </r>
    <r>
      <rPr>
        <sz val="12"/>
        <rFont val="Times New Roman"/>
        <family val="1"/>
      </rPr>
      <t xml:space="preserve">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r>
    <r>
      <rPr>
        <b/>
        <sz val="12"/>
        <rFont val="Times New Roman"/>
        <family val="1"/>
      </rPr>
      <t>Note: If you do not have Neighborhood Revitalization, this step is not done</t>
    </r>
    <r>
      <rPr>
        <sz val="12"/>
        <rFont val="Times New Roman"/>
        <family val="1"/>
      </rPr>
      <t>.</t>
    </r>
  </si>
  <si>
    <r>
      <t xml:space="preserve">13a. </t>
    </r>
    <r>
      <rPr>
        <b/>
        <u/>
        <sz val="12"/>
        <rFont val="Times New Roman"/>
        <family val="1"/>
      </rPr>
      <t>Warning</t>
    </r>
    <r>
      <rPr>
        <sz val="12"/>
        <rFont val="Times New Roman"/>
        <family val="1"/>
      </rPr>
      <t xml:space="preserve">,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 Suggest printing the table before deleting ad valorem rates, this way you will know approxiately the amount of the rebates and lost revenue because of the rebates. </t>
    </r>
  </si>
  <si>
    <r>
      <t xml:space="preserve">13b. </t>
    </r>
    <r>
      <rPr>
        <b/>
        <u/>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</si>
  <si>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13c. </t>
    </r>
    <r>
      <rPr>
        <b/>
        <sz val="12"/>
        <rFont val="Times New Roman"/>
        <family val="1"/>
      </rPr>
      <t>Note: If you do not have Neighborhood Revitalization, these steps are not done.</t>
    </r>
  </si>
  <si>
    <t xml:space="preserve">14.  Before submission of the budget to the County Clerk, please review the entire document and verify that all amounts are correct.  In addition, the Certificate Page needs to be signed by at least one member of the governing body (signatures of the entire governing body is preferred, but not mandatory). </t>
  </si>
  <si>
    <r>
      <t>15.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</si>
  <si>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15a.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</si>
  <si>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15b.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</si>
  <si>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Allocation of MVT, RVT, 16/20M Vehicle Tax</t>
  </si>
  <si>
    <r>
      <t xml:space="preserve">4d. If the city has a library, then in the Certificate page will show under the 'Table of Contents:' a new table is required.  The new table is named: 'Computation to Determine State Library Grant' which found on the "Library Grant" tab.  The State Library will use the "Library Grant" tab to authorize a grant to the library.  This tab </t>
    </r>
    <r>
      <rPr>
        <u/>
        <sz val="12"/>
        <rFont val="Times New Roman"/>
        <family val="1"/>
      </rPr>
      <t>must be printed</t>
    </r>
    <r>
      <rPr>
        <sz val="12"/>
        <rFont val="Times New Roman"/>
        <family val="1"/>
      </rPr>
      <t xml:space="preserve"> and attached to the budget that is submitted to the County Clerk.  No action is taken if the city does not have a library and will not appear on the Certificate page.</t>
    </r>
  </si>
  <si>
    <t>The following were changed to this spreadsheet on 1/31/12</t>
  </si>
  <si>
    <t>1. Instruction tab, added #4d to show Certificate page new schedule for Library Grant</t>
  </si>
  <si>
    <t xml:space="preserve">peter.haxton@library.ks.gov </t>
  </si>
  <si>
    <t>The following were changed to this spreadsheet on 2/22/12</t>
  </si>
  <si>
    <t>1. Library Grant tab, updated State Library e-mail contact address</t>
  </si>
  <si>
    <t>The following were changed to this spreadsheet on 4/10/12</t>
  </si>
  <si>
    <t>1. Corrected addition computation in column D, inputPrYr tab</t>
  </si>
  <si>
    <t>Is an ordinance required?</t>
  </si>
  <si>
    <t>The following were changed to this spreadsheet on 10/8/12</t>
  </si>
  <si>
    <t>1.  Added "ordinance required?  yes/no" message to area adjacent to each tax levy fund</t>
  </si>
  <si>
    <t>The following were changed to this spreadsheet on 1/31/13</t>
  </si>
  <si>
    <t>1.  Corrected formula in cell e28 of Library Grant tab</t>
  </si>
  <si>
    <t xml:space="preserve">Please read these instructions carefully.  If after reviewing them you still have questions, call Rogers Brazier at 785.296.2846 or email to armunis@da.ks.gov </t>
  </si>
  <si>
    <t>The following were changed to this spreadsheet on 3/21/13</t>
  </si>
  <si>
    <t>1.  Instruction tab narrative modification</t>
  </si>
  <si>
    <t>Johnson</t>
  </si>
  <si>
    <t>Leavenworth</t>
  </si>
  <si>
    <t>City of Bonner Springs</t>
  </si>
  <si>
    <t>Wyandotte County</t>
  </si>
  <si>
    <t>Spec. Rev. Aquatic Park Facility Sales Tax</t>
  </si>
  <si>
    <t>Spec. Rev. County Infrastructure</t>
  </si>
  <si>
    <t>Spec. Rev. Convention &amp; Tourism</t>
  </si>
  <si>
    <t>Spec. Rev. Drug &amp; Alcohol</t>
  </si>
  <si>
    <t>Spec. Rev. Economic Development</t>
  </si>
  <si>
    <t>Spec. Rev. Emergency Services Capital</t>
  </si>
  <si>
    <t>Spec. Rev. Emergency Medical Services</t>
  </si>
  <si>
    <t>Spec. Rev. Library Sales Tax</t>
  </si>
  <si>
    <t>Spec. Rev. Park Dedication</t>
  </si>
  <si>
    <t>Spec. Rev. Recreation Programs</t>
  </si>
  <si>
    <t>Spec. Rev. Risk Management</t>
  </si>
  <si>
    <t>Spec. Rev. Senior Center</t>
  </si>
  <si>
    <t>Spec. Rev. Sidewalk Escrow</t>
  </si>
  <si>
    <t>Spec. Rev. Soccer</t>
  </si>
  <si>
    <t>Spec. Rev. Special Parks &amp; Recreation</t>
  </si>
  <si>
    <t>Spec. Rev. Street Projects</t>
  </si>
  <si>
    <t>Spec. Rev. Summer Ball</t>
  </si>
  <si>
    <t>Spec. Rev. Swimming Pool</t>
  </si>
  <si>
    <t>Spec. Rev. Tiblow Transit</t>
  </si>
  <si>
    <t>Spec. Rev. TIF Develop Funds</t>
  </si>
  <si>
    <t>Bonner Pointe TIF Increment</t>
  </si>
  <si>
    <t>CID Development Fees</t>
  </si>
  <si>
    <t>Bonner Springs Center CID</t>
  </si>
  <si>
    <t>Bonner Springs Ctr City Contribution</t>
  </si>
  <si>
    <t>Enterprise Fund - Solid Waste</t>
  </si>
  <si>
    <t>Enterprise Fund - Storm Water</t>
  </si>
  <si>
    <t>Enterprise Fund - Waste Water</t>
  </si>
  <si>
    <t>Enterprise Fund - Water</t>
  </si>
  <si>
    <t>Non Budgeted Funds</t>
  </si>
  <si>
    <t>Certified October 2012</t>
  </si>
  <si>
    <t>Certified</t>
  </si>
  <si>
    <t>August 12, 2013</t>
  </si>
  <si>
    <t>7:30 p.m.</t>
  </si>
  <si>
    <t>City Hall Council Chambers, 205 East Second Street</t>
  </si>
  <si>
    <t>City Clerk's Office at City Hall</t>
  </si>
  <si>
    <t>Bonner Beautiful</t>
  </si>
  <si>
    <t>Budget &amp; Finance</t>
  </si>
  <si>
    <t>Building Codes</t>
  </si>
  <si>
    <t>Cemetery</t>
  </si>
  <si>
    <t>City Band</t>
  </si>
  <si>
    <t>City Council</t>
  </si>
  <si>
    <t>City Manager</t>
  </si>
  <si>
    <t>Custodial</t>
  </si>
  <si>
    <t>Fire</t>
  </si>
  <si>
    <t>Municipal Court</t>
  </si>
  <si>
    <t>Parks &amp; Recreation</t>
  </si>
  <si>
    <t>Planning</t>
  </si>
  <si>
    <t>Police</t>
  </si>
  <si>
    <t>Property Maintenance Codes</t>
  </si>
  <si>
    <t>Public Works</t>
  </si>
  <si>
    <t>Transfers &amp; Contingencies</t>
  </si>
  <si>
    <t xml:space="preserve">  Miscellaneous Expense</t>
  </si>
  <si>
    <t xml:space="preserve">  Transfers</t>
  </si>
  <si>
    <t>General Fund</t>
  </si>
  <si>
    <t>Emergency Medical Services</t>
  </si>
  <si>
    <t>Senior Center</t>
  </si>
  <si>
    <t>Swim Pool</t>
  </si>
  <si>
    <t>Tiblow Transit</t>
  </si>
  <si>
    <t>Bonner Springs Center City Contribution</t>
  </si>
  <si>
    <t>Street Projects</t>
  </si>
  <si>
    <t>Waste Water</t>
  </si>
  <si>
    <t xml:space="preserve">   Total From General Fund</t>
  </si>
  <si>
    <t xml:space="preserve">  Retail Incentives Rebate </t>
  </si>
  <si>
    <t>2012/2013 Budget Authority Amount</t>
  </si>
  <si>
    <t>Actual for 2012</t>
  </si>
  <si>
    <t>Estimate for 2013</t>
  </si>
  <si>
    <t>Year for 2014</t>
  </si>
  <si>
    <t>2013 Budget</t>
  </si>
  <si>
    <t>Amendments</t>
  </si>
  <si>
    <t>Sale of Property</t>
  </si>
  <si>
    <t>Major Capital Items</t>
  </si>
  <si>
    <t>Liquor</t>
  </si>
  <si>
    <t>Transfer to Other Funds</t>
  </si>
  <si>
    <t>Miscellaneous Program Fees</t>
  </si>
  <si>
    <t>Personnel Services</t>
  </si>
  <si>
    <t>Commodity Items</t>
  </si>
  <si>
    <t>Capital Items</t>
  </si>
  <si>
    <t>Youth Volleyball Personnel Services</t>
  </si>
  <si>
    <t xml:space="preserve">Youth Volleyball  </t>
  </si>
  <si>
    <t>Ball Program Fees</t>
  </si>
  <si>
    <t>Sponsorship Fees</t>
  </si>
  <si>
    <t>Reimbursed Expense</t>
  </si>
  <si>
    <t>Concession Revenue</t>
  </si>
  <si>
    <t>Contractual Services</t>
  </si>
  <si>
    <t>Soccer Program Fees</t>
  </si>
  <si>
    <t>Cancellation Fees</t>
  </si>
  <si>
    <t>Transfer from Special Parks</t>
  </si>
  <si>
    <t xml:space="preserve">Major Capital Items </t>
  </si>
  <si>
    <t>Daily Admissions</t>
  </si>
  <si>
    <t>Season Passes</t>
  </si>
  <si>
    <t>Private Rentals</t>
  </si>
  <si>
    <t>Guard Start Program</t>
  </si>
  <si>
    <t>Aquatic Programs</t>
  </si>
  <si>
    <t>Swim Lessons</t>
  </si>
  <si>
    <t>Private Swim Lessons</t>
  </si>
  <si>
    <t>Swim Team Fees</t>
  </si>
  <si>
    <t>Lifeguard Reimbursements</t>
  </si>
  <si>
    <t>Merchandise Sales</t>
  </si>
  <si>
    <t xml:space="preserve">Concession Sales </t>
  </si>
  <si>
    <t>Transfer from Special Parks &amp; Recreation</t>
  </si>
  <si>
    <t xml:space="preserve">Transfer from General Fund </t>
  </si>
  <si>
    <t xml:space="preserve">Miscellaneous Revenue </t>
  </si>
  <si>
    <t>Impact Fees</t>
  </si>
  <si>
    <t>Special Parks &amp; Recreation</t>
  </si>
  <si>
    <t>Soccer Field Project</t>
  </si>
  <si>
    <t>Walking Trail</t>
  </si>
  <si>
    <t>Amended Dec 2012</t>
  </si>
  <si>
    <t xml:space="preserve">Page Number </t>
  </si>
  <si>
    <t>2004 G. O. Bonds</t>
  </si>
  <si>
    <t>2005 G. O. Bonds - Pool</t>
  </si>
  <si>
    <t>2006 G. O. Bonds - Library</t>
  </si>
  <si>
    <t>2007 G. O. Bonds</t>
  </si>
  <si>
    <t>2008 G. O. Bonds - Lake Forest</t>
  </si>
  <si>
    <t>2009 G. O. Bonds</t>
  </si>
  <si>
    <t>2011 G. O. Bonds</t>
  </si>
  <si>
    <t>Temporary Note 2012-1</t>
  </si>
  <si>
    <t>3.4-4.6</t>
  </si>
  <si>
    <t>Mar/Sept</t>
  </si>
  <si>
    <t>Fire Rescue Truck</t>
  </si>
  <si>
    <t>2013 Library Amended</t>
  </si>
  <si>
    <t>Amended</t>
  </si>
  <si>
    <t>Payment in Lieu of Tax</t>
  </si>
  <si>
    <t>Neighborhood Revitalization Rebates</t>
  </si>
  <si>
    <t>Special Assessments</t>
  </si>
  <si>
    <t>Accrued Interest</t>
  </si>
  <si>
    <t xml:space="preserve">                         Library Sales Tax</t>
  </si>
  <si>
    <t xml:space="preserve">                         Library Project</t>
  </si>
  <si>
    <t xml:space="preserve">                         2007-A Bond</t>
  </si>
  <si>
    <t xml:space="preserve">                         2009-A Bond</t>
  </si>
  <si>
    <t xml:space="preserve">                         Storm Sewer</t>
  </si>
  <si>
    <t xml:space="preserve">                         Emergency Services Sales Tax</t>
  </si>
  <si>
    <t xml:space="preserve">                         Aquatic Facility Sales Tax </t>
  </si>
  <si>
    <t>Transfer from:  Waste Water</t>
  </si>
  <si>
    <t xml:space="preserve">                         Water</t>
  </si>
  <si>
    <t xml:space="preserve">Principal </t>
  </si>
  <si>
    <t>Miscellaneous Cash Basis Reserve</t>
  </si>
  <si>
    <t>City Sales &amp; Use Tax</t>
  </si>
  <si>
    <t>Transfer to General Fund</t>
  </si>
  <si>
    <t>Transfer to Debt Service</t>
  </si>
  <si>
    <t>Ad Valorem Tax - Increment</t>
  </si>
  <si>
    <t xml:space="preserve">      City Administrative Fee</t>
  </si>
  <si>
    <t xml:space="preserve">      Developer Distribution</t>
  </si>
  <si>
    <t>Transfer from General Fund</t>
  </si>
  <si>
    <t>CID Sales Tax</t>
  </si>
  <si>
    <t xml:space="preserve">   City Administrative Fee</t>
  </si>
  <si>
    <t xml:space="preserve">   Developer Distribution</t>
  </si>
  <si>
    <t xml:space="preserve">   City Contribution</t>
  </si>
  <si>
    <t>Developer Fees</t>
  </si>
  <si>
    <t>Major Capital - 130/K-7 Signal</t>
  </si>
  <si>
    <t>Transient Guest Tax</t>
  </si>
  <si>
    <t>Miscellaneous Revenue</t>
  </si>
  <si>
    <t>Liquor Tax</t>
  </si>
  <si>
    <t xml:space="preserve">Contractual Services </t>
  </si>
  <si>
    <t>Transfer to DARE Festival</t>
  </si>
  <si>
    <t>Transfer to General Fund - DARE</t>
  </si>
  <si>
    <t>IRG Origination Fee</t>
  </si>
  <si>
    <t>TIF Application Fees</t>
  </si>
  <si>
    <t>City Sales/Use Tax</t>
  </si>
  <si>
    <t>Aquatic Facility Sales Tax</t>
  </si>
  <si>
    <t>County Infrastructure</t>
  </si>
  <si>
    <t xml:space="preserve">Waste Water </t>
  </si>
  <si>
    <t xml:space="preserve">Water </t>
  </si>
  <si>
    <t>Library Sales Tax</t>
  </si>
  <si>
    <t>Library Project</t>
  </si>
  <si>
    <t>Storm Sewer</t>
  </si>
  <si>
    <t>Emerg Services Sales Tax</t>
  </si>
  <si>
    <t xml:space="preserve">Drug &amp; Alcohol </t>
  </si>
  <si>
    <t>Ambulance Fees</t>
  </si>
  <si>
    <t>Reimbursed Expenses</t>
  </si>
  <si>
    <t>Undistributed Taxes by City</t>
  </si>
  <si>
    <t>Tax Distribution</t>
  </si>
  <si>
    <t>Transfer to Deb Service</t>
  </si>
  <si>
    <t>Wyandotte County Social Services</t>
  </si>
  <si>
    <t>Escrow Fees</t>
  </si>
  <si>
    <t>Major Capital Items - Sidewalks</t>
  </si>
  <si>
    <t>State Highway Tax</t>
  </si>
  <si>
    <t>County Highway Tax</t>
  </si>
  <si>
    <t>State Connecting Link</t>
  </si>
  <si>
    <t>Transfer from County Infrastructure</t>
  </si>
  <si>
    <t>Transfer to KLINK-Cedar/Gibbs</t>
  </si>
  <si>
    <t>Section 531l KDOT Transportation</t>
  </si>
  <si>
    <t>Donations-Fares</t>
  </si>
  <si>
    <t>Donations-Other</t>
  </si>
  <si>
    <t>Transfer from Senior Center Account</t>
  </si>
  <si>
    <t>Grants</t>
  </si>
  <si>
    <t>User Charges</t>
  </si>
  <si>
    <t>Penalties</t>
  </si>
  <si>
    <t>Miscellaneous Revenue - Recycle</t>
  </si>
  <si>
    <t>Major Capita Items</t>
  </si>
  <si>
    <t>Solid Waste</t>
  </si>
  <si>
    <t>Storm Water Fees</t>
  </si>
  <si>
    <t>Sewer Surcharges</t>
  </si>
  <si>
    <t>Sewer Impact Fees</t>
  </si>
  <si>
    <t>Transfer from General Fund-Development Fees</t>
  </si>
  <si>
    <t>Cancel Prior Year Encumbrance</t>
  </si>
  <si>
    <t xml:space="preserve">                  General Fund-Weed Program</t>
  </si>
  <si>
    <t xml:space="preserve">                  General Fund-Administrative</t>
  </si>
  <si>
    <t>Miscellaneous Permits</t>
  </si>
  <si>
    <t>Fees</t>
  </si>
  <si>
    <t>Water</t>
  </si>
  <si>
    <t xml:space="preserve">   Total to General Fund</t>
  </si>
  <si>
    <t xml:space="preserve">   Total Miscellaneous</t>
  </si>
  <si>
    <t>Ord. 2178</t>
  </si>
  <si>
    <t>12-825d</t>
  </si>
  <si>
    <t>12-197</t>
  </si>
  <si>
    <t xml:space="preserve">                   General Fund-Weed Program</t>
  </si>
  <si>
    <t xml:space="preserve">                   General Fund-Administrative</t>
  </si>
  <si>
    <t>The governing body of the City of Bonner Springs</t>
  </si>
  <si>
    <t xml:space="preserve">                         The hearing will include 2013 Budget Amendments shown in bold in the 2013 Expenditures Column.</t>
  </si>
  <si>
    <t>Prior Year Actual 2012</t>
  </si>
  <si>
    <t>Current Year Estimate 2013</t>
  </si>
  <si>
    <t>Proposed Budget for 2014</t>
  </si>
  <si>
    <t>Amount of 2013</t>
  </si>
  <si>
    <t>Proposed 2014 Budget Expenditures &amp; Amount of Current Year Estimate for 2013 Ad Valorem Tax establish the maximum limits of the 2014 Budget.</t>
  </si>
  <si>
    <t>Estimated Tax Rate is subject to change dependent on the final assessed valuation.</t>
  </si>
  <si>
    <t>This tab will put the date and time and location of the budget hearing on the Budget Summary page.  Also, provide the location where as the budget can be reviewed.  Please input information in the green areas.</t>
  </si>
  <si>
    <t>Transfer to Street Projects Fund</t>
  </si>
  <si>
    <t>Swim Team T-shirt Reimbursements</t>
  </si>
  <si>
    <t>Project Manager</t>
  </si>
  <si>
    <t>Total Transfers &amp; Contingencies</t>
  </si>
  <si>
    <t>Total Miscellaneous Expense</t>
  </si>
  <si>
    <t xml:space="preserve">County Sales &amp; Use Tax </t>
  </si>
  <si>
    <t>Casino Revenue</t>
  </si>
  <si>
    <t>Franchise Fees</t>
  </si>
  <si>
    <t>Fines</t>
  </si>
  <si>
    <t>Amusement Tax</t>
  </si>
  <si>
    <t>Loring Services - Streets</t>
  </si>
  <si>
    <t>Permits</t>
  </si>
  <si>
    <t>Loring Services - Police</t>
  </si>
  <si>
    <t>Court Fees</t>
  </si>
  <si>
    <t>Licenses</t>
  </si>
  <si>
    <t>Service Charges</t>
  </si>
  <si>
    <t>Recreation Fees</t>
  </si>
  <si>
    <t>Animal Fees</t>
  </si>
  <si>
    <t>Miscellaneous Fees</t>
  </si>
  <si>
    <t>Transfers From:   Water</t>
  </si>
  <si>
    <t xml:space="preserve">                             Waste Water</t>
  </si>
  <si>
    <t xml:space="preserve">                             Solid Waste</t>
  </si>
  <si>
    <t xml:space="preserve">                             Special Drug &amp; Alcohol</t>
  </si>
  <si>
    <t>Misc. Capital Projects</t>
  </si>
  <si>
    <t>Misc. Fid/Internal Service</t>
  </si>
  <si>
    <t>Misc. Capital Project</t>
  </si>
  <si>
    <t>Streets</t>
  </si>
  <si>
    <t>Misc. Spec. Rev. Funds</t>
  </si>
  <si>
    <t>Misc. Fiduciary/Int Service Funds</t>
  </si>
  <si>
    <t>Bond Proceeds</t>
  </si>
  <si>
    <t>Donations</t>
  </si>
  <si>
    <t>Transfer from Streets</t>
  </si>
  <si>
    <t>Transfer from Spec Parks</t>
  </si>
  <si>
    <t>Transfer from Co. Infra.</t>
  </si>
  <si>
    <t>Capital Outlay</t>
  </si>
  <si>
    <t xml:space="preserve">      Drug &amp; Alcohol</t>
  </si>
  <si>
    <t>Contractual</t>
  </si>
  <si>
    <t>answer objections of taxpayers that relate to the proposed use of all funds and the amount of ad valorem tax for the 2014 Budget.</t>
  </si>
  <si>
    <t>______________________</t>
  </si>
  <si>
    <t>Jeff Harrington, Mayor</t>
  </si>
  <si>
    <t xml:space="preserve">Attest:  </t>
  </si>
  <si>
    <t xml:space="preserve">Rita Hoag, City Clerk                        </t>
  </si>
  <si>
    <t xml:space="preserve">certify that: (1) the City Council held a public hearing per the attached publication; (2) after the Budget Hearing, the City Council </t>
  </si>
  <si>
    <t xml:space="preserve">adopted this budget, adopted the maximum expenditures for 2013 Budget Amendments and adopted the maximum expenditures </t>
  </si>
  <si>
    <t>_______________________________</t>
  </si>
  <si>
    <t>Seal</t>
  </si>
  <si>
    <t xml:space="preserve">                                       for various funds for the 2014 Budget and (3) the Amounts of the 2013 Ad Valorem Tax are within statutory limitations.</t>
  </si>
  <si>
    <t>NA</t>
  </si>
  <si>
    <t>To the Clerk of Wyandotte County, State of Kansas.  We, the undersigned, officers of the City of Bonner Springs</t>
  </si>
  <si>
    <t>Transfer from Special</t>
  </si>
</sst>
</file>

<file path=xl/styles.xml><?xml version="1.0" encoding="utf-8"?>
<styleSheet xmlns="http://schemas.openxmlformats.org/spreadsheetml/2006/main">
  <numFmts count="21">
    <numFmt numFmtId="5" formatCode="&quot;$&quot;#,##0_);\(&quot;$&quot;#,##0\)"/>
    <numFmt numFmtId="6" formatCode="&quot;$&quot;#,##0_);[Red]\(&quot;$&quot;#,##0\)"/>
    <numFmt numFmtId="43" formatCode="_(* #,##0.00_);_(* \(#,##0.00\);_(* &quot;-&quot;??_);_(@_)"/>
    <numFmt numFmtId="164" formatCode="0.000_)"/>
    <numFmt numFmtId="165" formatCode="0.00000_)"/>
    <numFmt numFmtId="166" formatCode="0_)"/>
    <numFmt numFmtId="167" formatCode="0.00000"/>
    <numFmt numFmtId="168" formatCode="m/d/yy"/>
    <numFmt numFmtId="169" formatCode="m/d"/>
    <numFmt numFmtId="170" formatCode="0.000"/>
    <numFmt numFmtId="171" formatCode="#,##0.000_);\(#,##0.000\)"/>
    <numFmt numFmtId="172" formatCode="#,##0.000"/>
    <numFmt numFmtId="173" formatCode="[$-409]mmmm\ d\,\ yyyy;@"/>
    <numFmt numFmtId="174" formatCode="[$-409]h:mm\ AM/PM;@"/>
    <numFmt numFmtId="175" formatCode="&quot;$&quot;#,##0"/>
    <numFmt numFmtId="176" formatCode="&quot;$&quot;#,##0.00"/>
    <numFmt numFmtId="177" formatCode="#,###"/>
    <numFmt numFmtId="178" formatCode="#,##0.000_);[Red]\(#,##0.000\)"/>
    <numFmt numFmtId="179" formatCode="0.0%"/>
    <numFmt numFmtId="180" formatCode="0.0000%"/>
    <numFmt numFmtId="181" formatCode="0.0000"/>
  </numFmts>
  <fonts count="61">
    <font>
      <sz val="12"/>
      <name val="Courier"/>
    </font>
    <font>
      <b/>
      <sz val="12"/>
      <name val="Courier"/>
    </font>
    <font>
      <sz val="12"/>
      <name val="Courier"/>
      <family val="3"/>
    </font>
    <font>
      <b/>
      <sz val="12"/>
      <name val="Times New Roman"/>
      <family val="1"/>
    </font>
    <font>
      <sz val="12"/>
      <name val="Times New Roman"/>
      <family val="1"/>
    </font>
    <font>
      <u/>
      <sz val="12"/>
      <name val="Times New Roman"/>
      <family val="1"/>
    </font>
    <font>
      <sz val="14"/>
      <name val="Times New Roman"/>
      <family val="1"/>
    </font>
    <font>
      <sz val="11"/>
      <name val="Times New Roman"/>
      <family val="1"/>
    </font>
    <font>
      <sz val="9"/>
      <name val="Times New Roman"/>
      <family val="1"/>
    </font>
    <font>
      <sz val="8"/>
      <name val="Courier"/>
      <family val="3"/>
    </font>
    <font>
      <u/>
      <sz val="12"/>
      <color indexed="12"/>
      <name val="Courier"/>
      <family val="3"/>
    </font>
    <font>
      <sz val="8"/>
      <name val="Times New Roman"/>
      <family val="1"/>
    </font>
    <font>
      <b/>
      <u/>
      <sz val="12"/>
      <name val="Times New Roman"/>
      <family val="1"/>
    </font>
    <font>
      <b/>
      <u/>
      <sz val="12"/>
      <color indexed="10"/>
      <name val="Times New Roman"/>
      <family val="1"/>
    </font>
    <font>
      <b/>
      <u/>
      <sz val="12"/>
      <name val="Courier"/>
      <family val="3"/>
    </font>
    <font>
      <sz val="12"/>
      <color indexed="10"/>
      <name val="Times New Roman"/>
      <family val="1"/>
    </font>
    <font>
      <b/>
      <sz val="12"/>
      <color indexed="10"/>
      <name val="Times New Roman"/>
      <family val="1"/>
    </font>
    <font>
      <b/>
      <sz val="8"/>
      <name val="Times New Roman"/>
      <family val="1"/>
    </font>
    <font>
      <sz val="12"/>
      <name val="Courier"/>
      <family val="3"/>
    </font>
    <font>
      <sz val="12"/>
      <color indexed="10"/>
      <name val="Courier"/>
      <family val="3"/>
    </font>
    <font>
      <i/>
      <sz val="12"/>
      <name val="Times New Roman"/>
      <family val="1"/>
    </font>
    <font>
      <b/>
      <sz val="14"/>
      <name val="Times New Roman"/>
      <family val="1"/>
    </font>
    <font>
      <sz val="12"/>
      <color indexed="8"/>
      <name val="Times New Roman"/>
      <family val="1"/>
    </font>
    <font>
      <b/>
      <sz val="12"/>
      <color indexed="8"/>
      <name val="Times New Roman"/>
      <family val="1"/>
    </font>
    <font>
      <b/>
      <sz val="11"/>
      <name val="Times New Roman"/>
      <family val="1"/>
    </font>
    <font>
      <sz val="11"/>
      <color indexed="8"/>
      <name val="Times New Roman"/>
      <family val="1"/>
    </font>
    <font>
      <b/>
      <sz val="11"/>
      <color indexed="8"/>
      <name val="Times New Roman"/>
      <family val="1"/>
    </font>
    <font>
      <b/>
      <u/>
      <sz val="8"/>
      <color indexed="10"/>
      <name val="Times New Roman"/>
      <family val="1"/>
    </font>
    <font>
      <sz val="12"/>
      <name val="Courier New"/>
      <family val="3"/>
    </font>
    <font>
      <b/>
      <sz val="12"/>
      <name val="Courier"/>
      <family val="3"/>
    </font>
    <font>
      <i/>
      <sz val="12"/>
      <name val="Courier"/>
      <family val="3"/>
    </font>
    <font>
      <i/>
      <u/>
      <sz val="12"/>
      <name val="Courier"/>
      <family val="3"/>
    </font>
    <font>
      <sz val="12"/>
      <name val="Courier New"/>
      <family val="3"/>
    </font>
    <font>
      <sz val="9"/>
      <name val="Courier"/>
      <family val="3"/>
    </font>
    <font>
      <sz val="10"/>
      <name val="Times New Roman"/>
      <family val="1"/>
    </font>
    <font>
      <sz val="11"/>
      <name val="Cambria"/>
      <family val="1"/>
    </font>
    <font>
      <b/>
      <sz val="11"/>
      <color indexed="8"/>
      <name val="Cambria"/>
      <family val="1"/>
    </font>
    <font>
      <b/>
      <sz val="13"/>
      <name val="Times New Roman"/>
      <family val="1"/>
    </font>
    <font>
      <u/>
      <sz val="12"/>
      <color indexed="12"/>
      <name val="Times New Roman"/>
      <family val="1"/>
    </font>
    <font>
      <b/>
      <u/>
      <sz val="10"/>
      <name val="Times New Roman"/>
      <family val="1"/>
    </font>
    <font>
      <b/>
      <sz val="10"/>
      <name val="Times New Roman"/>
      <family val="1"/>
    </font>
    <font>
      <b/>
      <u/>
      <sz val="8"/>
      <name val="Times New Roman"/>
      <family val="1"/>
    </font>
    <font>
      <u/>
      <sz val="12"/>
      <color indexed="10"/>
      <name val="Times New Roman"/>
      <family val="1"/>
    </font>
    <font>
      <sz val="8"/>
      <color indexed="10"/>
      <name val="Times New Roman"/>
      <family val="1"/>
    </font>
    <font>
      <sz val="10"/>
      <name val="Courier"/>
      <family val="3"/>
    </font>
    <font>
      <sz val="10"/>
      <color indexed="10"/>
      <name val="Times New Roman"/>
      <family val="1"/>
    </font>
    <font>
      <u/>
      <sz val="12"/>
      <color indexed="12"/>
      <name val="Courier New"/>
      <family val="3"/>
    </font>
    <font>
      <sz val="11"/>
      <color theme="1"/>
      <name val="Calibri"/>
      <family val="2"/>
      <scheme val="minor"/>
    </font>
    <font>
      <u/>
      <sz val="12"/>
      <color rgb="FFFF0000"/>
      <name val="Times New Roman"/>
      <family val="1"/>
    </font>
    <font>
      <sz val="11"/>
      <color rgb="FF000000"/>
      <name val="Cambria"/>
      <family val="1"/>
    </font>
    <font>
      <b/>
      <sz val="11"/>
      <color theme="1"/>
      <name val="Cambria"/>
      <family val="1"/>
    </font>
    <font>
      <sz val="10"/>
      <color rgb="FFFF0000"/>
      <name val="Times New Roman"/>
      <family val="1"/>
    </font>
    <font>
      <b/>
      <sz val="12"/>
      <color rgb="FFFF0000"/>
      <name val="Times New Roman"/>
      <family val="1"/>
    </font>
    <font>
      <b/>
      <sz val="12"/>
      <color rgb="FF000000"/>
      <name val="Times New Roman"/>
      <family val="1"/>
    </font>
    <font>
      <sz val="12"/>
      <color rgb="FFFF0000"/>
      <name val="Times New Roman"/>
      <family val="1"/>
    </font>
    <font>
      <b/>
      <u/>
      <sz val="12"/>
      <color rgb="FFFF0000"/>
      <name val="Times New Roman"/>
      <family val="1"/>
    </font>
    <font>
      <sz val="12"/>
      <color theme="0"/>
      <name val="Courier"/>
      <family val="3"/>
    </font>
    <font>
      <sz val="12"/>
      <color theme="0"/>
      <name val="Courier New"/>
      <family val="3"/>
    </font>
    <font>
      <sz val="8"/>
      <color theme="0"/>
      <name val="Times New Roman"/>
      <family val="1"/>
    </font>
    <font>
      <sz val="12"/>
      <color theme="0"/>
      <name val="Times New Roman"/>
      <family val="1"/>
    </font>
    <font>
      <b/>
      <sz val="10"/>
      <color rgb="FFFF0000"/>
      <name val="Times New Roman"/>
      <family val="1"/>
    </font>
  </fonts>
  <fills count="19">
    <fill>
      <patternFill patternType="none"/>
    </fill>
    <fill>
      <patternFill patternType="gray125"/>
    </fill>
    <fill>
      <patternFill patternType="solid">
        <fgColor indexed="11"/>
      </patternFill>
    </fill>
    <fill>
      <patternFill patternType="solid">
        <fgColor indexed="26"/>
        <bgColor indexed="64"/>
      </patternFill>
    </fill>
    <fill>
      <patternFill patternType="solid">
        <fgColor indexed="11"/>
        <bgColor indexed="64"/>
      </patternFill>
    </fill>
    <fill>
      <patternFill patternType="solid">
        <fgColor indexed="43"/>
        <bgColor indexed="64"/>
      </patternFill>
    </fill>
    <fill>
      <patternFill patternType="solid">
        <fgColor indexed="34"/>
        <bgColor indexed="64"/>
      </patternFill>
    </fill>
    <fill>
      <patternFill patternType="solid">
        <fgColor indexed="15"/>
        <bgColor indexed="64"/>
      </patternFill>
    </fill>
    <fill>
      <patternFill patternType="solid">
        <fgColor indexed="10"/>
        <bgColor indexed="64"/>
      </patternFill>
    </fill>
    <fill>
      <patternFill patternType="solid">
        <fgColor indexed="35"/>
        <bgColor indexed="64"/>
      </patternFill>
    </fill>
    <fill>
      <patternFill patternType="solid">
        <fgColor indexed="41"/>
        <bgColor indexed="64"/>
      </patternFill>
    </fill>
    <fill>
      <patternFill patternType="solid">
        <fgColor indexed="13"/>
        <bgColor indexed="64"/>
      </patternFill>
    </fill>
    <fill>
      <patternFill patternType="solid">
        <fgColor rgb="FFFFFFC0"/>
        <bgColor indexed="64"/>
      </patternFill>
    </fill>
    <fill>
      <patternFill patternType="solid">
        <fgColor rgb="FF00FF00"/>
        <bgColor indexed="64"/>
      </patternFill>
    </fill>
    <fill>
      <patternFill patternType="solid">
        <fgColor rgb="FFFFFF99"/>
        <bgColor indexed="64"/>
      </patternFill>
    </fill>
    <fill>
      <patternFill patternType="solid">
        <fgColor rgb="FFFFFF00"/>
        <bgColor indexed="64"/>
      </patternFill>
    </fill>
    <fill>
      <patternFill patternType="solid">
        <fgColor rgb="FF00FFFF"/>
        <bgColor indexed="64"/>
      </patternFill>
    </fill>
    <fill>
      <patternFill patternType="solid">
        <fgColor theme="0"/>
        <bgColor indexed="64"/>
      </patternFill>
    </fill>
    <fill>
      <patternFill patternType="solid">
        <fgColor rgb="FFFFFFCC"/>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medium">
        <color indexed="64"/>
      </bottom>
      <diagonal/>
    </border>
    <border>
      <left/>
      <right style="thin">
        <color indexed="64"/>
      </right>
      <top/>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0"/>
      </left>
      <right style="thin">
        <color indexed="0"/>
      </right>
      <top style="thin">
        <color indexed="0"/>
      </top>
      <bottom style="thin">
        <color indexed="0"/>
      </bottom>
      <diagonal/>
    </border>
    <border>
      <left style="thin">
        <color indexed="0"/>
      </left>
      <right style="thin">
        <color indexed="0"/>
      </right>
      <top style="thin">
        <color indexed="0"/>
      </top>
      <bottom style="double">
        <color indexed="0"/>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diagonal/>
    </border>
    <border>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0"/>
      </left>
      <right style="thin">
        <color indexed="0"/>
      </right>
      <top style="thin">
        <color indexed="0"/>
      </top>
      <bottom/>
      <diagonal/>
    </border>
    <border>
      <left style="thin">
        <color indexed="0"/>
      </left>
      <right style="thin">
        <color indexed="0"/>
      </right>
      <top/>
      <bottom style="thin">
        <color indexed="0"/>
      </bottom>
      <diagonal/>
    </border>
    <border>
      <left style="thin">
        <color indexed="64"/>
      </left>
      <right style="thin">
        <color indexed="64"/>
      </right>
      <top style="medium">
        <color indexed="64"/>
      </top>
      <bottom style="double">
        <color indexed="64"/>
      </bottom>
      <diagonal/>
    </border>
  </borders>
  <cellStyleXfs count="421">
    <xf numFmtId="0" fontId="0"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2" fillId="0" borderId="0"/>
    <xf numFmtId="0" fontId="2" fillId="0" borderId="0"/>
    <xf numFmtId="0" fontId="28" fillId="0" borderId="0"/>
    <xf numFmtId="0" fontId="2" fillId="0" borderId="0"/>
    <xf numFmtId="0" fontId="28"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8" fillId="0" borderId="0"/>
    <xf numFmtId="0" fontId="28" fillId="0" borderId="0"/>
    <xf numFmtId="0" fontId="2" fillId="0" borderId="0"/>
    <xf numFmtId="0" fontId="2" fillId="0" borderId="0"/>
    <xf numFmtId="0" fontId="28"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 fillId="0" borderId="0"/>
    <xf numFmtId="0" fontId="2" fillId="0" borderId="0"/>
    <xf numFmtId="0" fontId="28" fillId="0" borderId="0"/>
    <xf numFmtId="0" fontId="2" fillId="0" borderId="0"/>
    <xf numFmtId="0" fontId="32" fillId="0" borderId="0"/>
    <xf numFmtId="0" fontId="28" fillId="0" borderId="0"/>
    <xf numFmtId="0" fontId="28" fillId="0" borderId="0"/>
    <xf numFmtId="0" fontId="28" fillId="0" borderId="0"/>
    <xf numFmtId="0" fontId="32" fillId="0" borderId="0"/>
    <xf numFmtId="0" fontId="28" fillId="0" borderId="0"/>
    <xf numFmtId="0" fontId="28" fillId="0" borderId="0"/>
    <xf numFmtId="0" fontId="28" fillId="0" borderId="0"/>
    <xf numFmtId="0" fontId="32" fillId="0" borderId="0"/>
    <xf numFmtId="0" fontId="28" fillId="0" borderId="0"/>
    <xf numFmtId="0" fontId="28" fillId="0" borderId="0"/>
    <xf numFmtId="0" fontId="28" fillId="0" borderId="0"/>
    <xf numFmtId="0" fontId="32" fillId="0" borderId="0"/>
    <xf numFmtId="0" fontId="2" fillId="0" borderId="0"/>
    <xf numFmtId="0" fontId="2" fillId="0" borderId="0"/>
    <xf numFmtId="0" fontId="28" fillId="0" borderId="0"/>
    <xf numFmtId="0" fontId="2" fillId="0" borderId="0"/>
    <xf numFmtId="0" fontId="2" fillId="0" borderId="0"/>
    <xf numFmtId="0" fontId="28" fillId="0" borderId="0"/>
    <xf numFmtId="0" fontId="28" fillId="0" borderId="0"/>
    <xf numFmtId="0" fontId="2" fillId="0" borderId="0"/>
    <xf numFmtId="0" fontId="2" fillId="0" borderId="0"/>
    <xf numFmtId="0" fontId="32" fillId="0" borderId="0"/>
    <xf numFmtId="0" fontId="2" fillId="0" borderId="0"/>
    <xf numFmtId="0" fontId="2" fillId="0" borderId="0"/>
    <xf numFmtId="0" fontId="28" fillId="0" borderId="0"/>
    <xf numFmtId="0" fontId="2" fillId="0" borderId="0"/>
    <xf numFmtId="0" fontId="2" fillId="0" borderId="0"/>
    <xf numFmtId="0" fontId="28" fillId="0" borderId="0"/>
    <xf numFmtId="0" fontId="28"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8" fillId="0" borderId="0"/>
    <xf numFmtId="0" fontId="2" fillId="0" borderId="0"/>
    <xf numFmtId="0" fontId="2" fillId="0" borderId="0"/>
    <xf numFmtId="0" fontId="2" fillId="0" borderId="0"/>
    <xf numFmtId="0" fontId="28" fillId="0" borderId="0"/>
    <xf numFmtId="0" fontId="2" fillId="0" borderId="0"/>
    <xf numFmtId="0" fontId="28" fillId="0" borderId="0"/>
    <xf numFmtId="0" fontId="2" fillId="0" borderId="0"/>
    <xf numFmtId="0" fontId="2" fillId="0" borderId="0"/>
    <xf numFmtId="0" fontId="2" fillId="0" borderId="0"/>
    <xf numFmtId="0" fontId="2" fillId="0" borderId="0"/>
    <xf numFmtId="0" fontId="28" fillId="0" borderId="0"/>
    <xf numFmtId="0" fontId="28"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 fillId="0" borderId="0"/>
    <xf numFmtId="0" fontId="2" fillId="0" borderId="0"/>
    <xf numFmtId="0" fontId="2" fillId="0" borderId="0"/>
    <xf numFmtId="0" fontId="28" fillId="0" borderId="0"/>
    <xf numFmtId="0" fontId="2" fillId="0" borderId="0"/>
    <xf numFmtId="0" fontId="2" fillId="0" borderId="0"/>
    <xf numFmtId="0" fontId="28"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 fillId="0" borderId="0"/>
    <xf numFmtId="0" fontId="2" fillId="0" borderId="0"/>
    <xf numFmtId="0" fontId="2" fillId="0" borderId="0"/>
    <xf numFmtId="0" fontId="28" fillId="0" borderId="0"/>
    <xf numFmtId="0" fontId="2" fillId="0" borderId="0"/>
    <xf numFmtId="0" fontId="2" fillId="0" borderId="0"/>
    <xf numFmtId="0" fontId="28"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4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7" fillId="0" borderId="0"/>
    <xf numFmtId="0" fontId="28" fillId="0" borderId="0"/>
    <xf numFmtId="0" fontId="28" fillId="0" borderId="0"/>
    <xf numFmtId="0" fontId="28" fillId="0" borderId="0"/>
    <xf numFmtId="0" fontId="28" fillId="0" borderId="0"/>
    <xf numFmtId="0" fontId="2" fillId="0" borderId="0"/>
    <xf numFmtId="0" fontId="28" fillId="0" borderId="0"/>
    <xf numFmtId="0" fontId="28" fillId="0" borderId="0"/>
    <xf numFmtId="0" fontId="2" fillId="0" borderId="0"/>
    <xf numFmtId="0" fontId="28" fillId="0" borderId="0"/>
    <xf numFmtId="0" fontId="28" fillId="0" borderId="0"/>
    <xf numFmtId="0" fontId="28" fillId="0" borderId="0"/>
    <xf numFmtId="0" fontId="2" fillId="0" borderId="0"/>
    <xf numFmtId="0" fontId="28" fillId="0" borderId="0"/>
    <xf numFmtId="0" fontId="2" fillId="0" borderId="0"/>
    <xf numFmtId="0" fontId="28" fillId="0" borderId="0"/>
    <xf numFmtId="0" fontId="28" fillId="0" borderId="0"/>
    <xf numFmtId="0" fontId="28" fillId="0" borderId="0"/>
    <xf numFmtId="0" fontId="2" fillId="0" borderId="0"/>
    <xf numFmtId="0" fontId="2" fillId="0" borderId="0"/>
    <xf numFmtId="0" fontId="2" fillId="0" borderId="0"/>
    <xf numFmtId="0" fontId="28" fillId="0" borderId="0"/>
    <xf numFmtId="0" fontId="28" fillId="0" borderId="0"/>
    <xf numFmtId="0" fontId="2" fillId="0" borderId="0"/>
    <xf numFmtId="0" fontId="28" fillId="0" borderId="0"/>
    <xf numFmtId="0" fontId="28" fillId="0" borderId="0"/>
    <xf numFmtId="0" fontId="28" fillId="0" borderId="0"/>
    <xf numFmtId="0" fontId="28" fillId="0" borderId="0"/>
    <xf numFmtId="0" fontId="28" fillId="0" borderId="0"/>
    <xf numFmtId="0" fontId="2" fillId="0" borderId="0"/>
    <xf numFmtId="0" fontId="28"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8" fillId="0" borderId="0"/>
    <xf numFmtId="0" fontId="28" fillId="0" borderId="0"/>
    <xf numFmtId="0" fontId="28" fillId="0" borderId="0"/>
    <xf numFmtId="0" fontId="28" fillId="0" borderId="0"/>
    <xf numFmtId="0" fontId="28" fillId="0" borderId="0"/>
    <xf numFmtId="0" fontId="2" fillId="0" borderId="0"/>
    <xf numFmtId="0" fontId="28" fillId="0" borderId="0"/>
    <xf numFmtId="0" fontId="28" fillId="0" borderId="0"/>
    <xf numFmtId="0" fontId="28" fillId="0" borderId="0"/>
    <xf numFmtId="0" fontId="28" fillId="0" borderId="0"/>
    <xf numFmtId="0" fontId="2" fillId="0" borderId="0"/>
    <xf numFmtId="0" fontId="2" fillId="0" borderId="0"/>
    <xf numFmtId="0" fontId="28" fillId="0" borderId="0"/>
    <xf numFmtId="0" fontId="28" fillId="0" borderId="0"/>
    <xf numFmtId="0" fontId="28" fillId="0" borderId="0"/>
    <xf numFmtId="0" fontId="2" fillId="0" borderId="0"/>
    <xf numFmtId="0" fontId="28"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xf numFmtId="0" fontId="28" fillId="0" borderId="0"/>
    <xf numFmtId="0" fontId="28" fillId="0" borderId="0"/>
    <xf numFmtId="0" fontId="28" fillId="0" borderId="0"/>
    <xf numFmtId="0" fontId="28" fillId="0" borderId="0"/>
    <xf numFmtId="0" fontId="2" fillId="0" borderId="0"/>
    <xf numFmtId="0" fontId="2" fillId="0" borderId="0"/>
    <xf numFmtId="0" fontId="2" fillId="0" borderId="0"/>
    <xf numFmtId="0" fontId="2" fillId="0" borderId="0"/>
  </cellStyleXfs>
  <cellXfs count="985">
    <xf numFmtId="0" fontId="0" fillId="0" borderId="0" xfId="0"/>
    <xf numFmtId="0" fontId="4" fillId="0" borderId="0" xfId="0" applyFont="1"/>
    <xf numFmtId="0" fontId="4" fillId="0" borderId="0" xfId="0" applyFont="1" applyAlignment="1">
      <alignment wrapText="1"/>
    </xf>
    <xf numFmtId="0" fontId="4" fillId="0" borderId="0" xfId="0" applyFont="1" applyProtection="1">
      <protection locked="0"/>
    </xf>
    <xf numFmtId="0" fontId="4" fillId="2" borderId="1" xfId="0" applyFont="1" applyFill="1" applyBorder="1" applyProtection="1">
      <protection locked="0"/>
    </xf>
    <xf numFmtId="37" fontId="4" fillId="0" borderId="0" xfId="0" applyNumberFormat="1" applyFont="1" applyProtection="1">
      <protection locked="0"/>
    </xf>
    <xf numFmtId="0" fontId="4" fillId="3" borderId="0" xfId="0" applyFont="1" applyFill="1" applyProtection="1"/>
    <xf numFmtId="0" fontId="4" fillId="3" borderId="0" xfId="0" applyFont="1" applyFill="1" applyAlignment="1" applyProtection="1">
      <alignment horizontal="right"/>
    </xf>
    <xf numFmtId="37" fontId="4" fillId="3" borderId="0" xfId="0" applyNumberFormat="1" applyFont="1" applyFill="1" applyAlignment="1" applyProtection="1">
      <alignment horizontal="right"/>
    </xf>
    <xf numFmtId="37" fontId="4" fillId="3" borderId="0" xfId="0" applyNumberFormat="1" applyFont="1" applyFill="1" applyAlignment="1" applyProtection="1">
      <alignment horizontal="left"/>
    </xf>
    <xf numFmtId="0" fontId="4" fillId="3" borderId="0" xfId="0" applyFont="1" applyFill="1" applyAlignment="1" applyProtection="1">
      <alignment horizontal="centerContinuous"/>
    </xf>
    <xf numFmtId="37" fontId="4" fillId="3" borderId="2" xfId="0" applyNumberFormat="1" applyFont="1" applyFill="1" applyBorder="1" applyAlignment="1" applyProtection="1">
      <alignment horizontal="left"/>
    </xf>
    <xf numFmtId="37" fontId="4" fillId="3" borderId="1" xfId="0" applyNumberFormat="1" applyFont="1" applyFill="1" applyBorder="1" applyProtection="1"/>
    <xf numFmtId="0" fontId="4" fillId="3" borderId="1" xfId="0" applyFont="1" applyFill="1" applyBorder="1" applyProtection="1"/>
    <xf numFmtId="37" fontId="4" fillId="3" borderId="0" xfId="0" applyNumberFormat="1" applyFont="1" applyFill="1" applyProtection="1"/>
    <xf numFmtId="0" fontId="3" fillId="3" borderId="0" xfId="420" applyFont="1" applyFill="1" applyAlignment="1" applyProtection="1">
      <alignment horizontal="centerContinuous"/>
    </xf>
    <xf numFmtId="0" fontId="4" fillId="3" borderId="3" xfId="0" applyFont="1" applyFill="1" applyBorder="1" applyAlignment="1" applyProtection="1">
      <alignment horizontal="center"/>
    </xf>
    <xf numFmtId="0" fontId="4" fillId="3" borderId="4" xfId="0" applyFont="1" applyFill="1" applyBorder="1" applyAlignment="1" applyProtection="1">
      <alignment horizontal="centerContinuous"/>
    </xf>
    <xf numFmtId="0" fontId="4" fillId="3" borderId="5" xfId="0" applyFont="1" applyFill="1" applyBorder="1" applyAlignment="1" applyProtection="1">
      <alignment horizontal="centerContinuous"/>
    </xf>
    <xf numFmtId="0" fontId="4" fillId="3" borderId="6" xfId="0" applyFont="1" applyFill="1" applyBorder="1" applyAlignment="1" applyProtection="1">
      <alignment horizontal="center"/>
    </xf>
    <xf numFmtId="0" fontId="4" fillId="3" borderId="7" xfId="0" applyFont="1" applyFill="1" applyBorder="1" applyAlignment="1" applyProtection="1">
      <alignment horizontal="center"/>
    </xf>
    <xf numFmtId="0" fontId="4" fillId="3" borderId="1" xfId="0" applyFont="1" applyFill="1" applyBorder="1" applyAlignment="1" applyProtection="1">
      <alignment horizontal="center"/>
    </xf>
    <xf numFmtId="0" fontId="4" fillId="3" borderId="1" xfId="0" applyFont="1" applyFill="1" applyBorder="1" applyAlignment="1" applyProtection="1">
      <alignment horizontal="left"/>
    </xf>
    <xf numFmtId="2" fontId="4" fillId="3" borderId="1" xfId="0" applyNumberFormat="1" applyFont="1" applyFill="1" applyBorder="1" applyProtection="1"/>
    <xf numFmtId="3" fontId="4" fillId="3" borderId="1" xfId="0" applyNumberFormat="1" applyFont="1" applyFill="1" applyBorder="1" applyProtection="1"/>
    <xf numFmtId="0" fontId="3" fillId="3" borderId="1" xfId="0" applyFont="1" applyFill="1" applyBorder="1" applyAlignment="1" applyProtection="1">
      <alignment horizontal="left"/>
    </xf>
    <xf numFmtId="0" fontId="4" fillId="3" borderId="8" xfId="0" applyFont="1" applyFill="1" applyBorder="1" applyAlignment="1" applyProtection="1">
      <alignment horizontal="fill"/>
    </xf>
    <xf numFmtId="0" fontId="3" fillId="3" borderId="0" xfId="0" applyFont="1" applyFill="1" applyProtection="1"/>
    <xf numFmtId="0" fontId="4" fillId="4" borderId="0" xfId="0" applyFont="1" applyFill="1" applyAlignment="1" applyProtection="1">
      <alignment horizontal="left"/>
      <protection locked="0"/>
    </xf>
    <xf numFmtId="1" fontId="4" fillId="3" borderId="0" xfId="0" applyNumberFormat="1" applyFont="1" applyFill="1" applyBorder="1" applyAlignment="1" applyProtection="1">
      <alignment horizontal="right"/>
    </xf>
    <xf numFmtId="37" fontId="3" fillId="3" borderId="2" xfId="0" applyNumberFormat="1" applyFont="1" applyFill="1" applyBorder="1" applyAlignment="1" applyProtection="1">
      <alignment horizontal="left"/>
    </xf>
    <xf numFmtId="0" fontId="0" fillId="3" borderId="0" xfId="0" applyFill="1"/>
    <xf numFmtId="166" fontId="4" fillId="3" borderId="8" xfId="0" applyNumberFormat="1" applyFont="1" applyFill="1" applyBorder="1" applyProtection="1"/>
    <xf numFmtId="37" fontId="4" fillId="3" borderId="8" xfId="0" quotePrefix="1" applyNumberFormat="1" applyFont="1" applyFill="1" applyBorder="1" applyAlignment="1" applyProtection="1">
      <alignment horizontal="right"/>
    </xf>
    <xf numFmtId="1" fontId="4" fillId="3" borderId="9" xfId="0" applyNumberFormat="1" applyFont="1" applyFill="1" applyBorder="1" applyAlignment="1" applyProtection="1">
      <alignment horizontal="center"/>
    </xf>
    <xf numFmtId="0" fontId="4" fillId="0" borderId="0" xfId="0" applyFont="1" applyAlignment="1" applyProtection="1">
      <alignment horizontal="left"/>
      <protection locked="0"/>
    </xf>
    <xf numFmtId="0" fontId="3" fillId="3" borderId="1" xfId="0" applyFont="1" applyFill="1" applyBorder="1" applyAlignment="1" applyProtection="1">
      <alignment horizontal="center"/>
    </xf>
    <xf numFmtId="3" fontId="4" fillId="3" borderId="1" xfId="0" applyNumberFormat="1" applyFont="1" applyFill="1" applyBorder="1" applyAlignment="1" applyProtection="1">
      <alignment horizontal="center"/>
    </xf>
    <xf numFmtId="2" fontId="4" fillId="2" borderId="1" xfId="0" applyNumberFormat="1" applyFont="1" applyFill="1" applyBorder="1" applyAlignment="1" applyProtection="1">
      <alignment horizontal="center"/>
      <protection locked="0"/>
    </xf>
    <xf numFmtId="3" fontId="4" fillId="2" borderId="1" xfId="0" applyNumberFormat="1" applyFont="1" applyFill="1" applyBorder="1" applyAlignment="1" applyProtection="1">
      <alignment horizontal="center"/>
      <protection locked="0"/>
    </xf>
    <xf numFmtId="37" fontId="4" fillId="2" borderId="1" xfId="0" applyNumberFormat="1" applyFont="1" applyFill="1" applyBorder="1" applyAlignment="1" applyProtection="1">
      <alignment horizontal="center"/>
      <protection locked="0"/>
    </xf>
    <xf numFmtId="169" fontId="4" fillId="2" borderId="1" xfId="0" applyNumberFormat="1" applyFont="1" applyFill="1" applyBorder="1" applyAlignment="1" applyProtection="1">
      <alignment horizontal="center"/>
      <protection locked="0"/>
    </xf>
    <xf numFmtId="168" fontId="3" fillId="3" borderId="1" xfId="0" applyNumberFormat="1" applyFont="1" applyFill="1" applyBorder="1" applyAlignment="1" applyProtection="1">
      <alignment horizontal="center"/>
    </xf>
    <xf numFmtId="2" fontId="3" fillId="3" borderId="1" xfId="0" applyNumberFormat="1" applyFont="1" applyFill="1" applyBorder="1" applyAlignment="1" applyProtection="1">
      <alignment horizontal="center"/>
    </xf>
    <xf numFmtId="3" fontId="3" fillId="3" borderId="1" xfId="0" applyNumberFormat="1" applyFont="1" applyFill="1" applyBorder="1" applyAlignment="1" applyProtection="1">
      <alignment horizontal="center"/>
    </xf>
    <xf numFmtId="169" fontId="3" fillId="3" borderId="1" xfId="0" applyNumberFormat="1" applyFont="1" applyFill="1" applyBorder="1" applyAlignment="1" applyProtection="1">
      <alignment horizontal="center"/>
    </xf>
    <xf numFmtId="168" fontId="4" fillId="3" borderId="1" xfId="0" applyNumberFormat="1" applyFont="1" applyFill="1" applyBorder="1" applyAlignment="1" applyProtection="1">
      <alignment horizontal="center"/>
    </xf>
    <xf numFmtId="2" fontId="4" fillId="3" borderId="1" xfId="0" applyNumberFormat="1" applyFont="1" applyFill="1" applyBorder="1" applyAlignment="1" applyProtection="1">
      <alignment horizontal="center"/>
    </xf>
    <xf numFmtId="169" fontId="4" fillId="3" borderId="1" xfId="0" applyNumberFormat="1" applyFont="1" applyFill="1" applyBorder="1" applyAlignment="1" applyProtection="1">
      <alignment horizontal="center"/>
    </xf>
    <xf numFmtId="1" fontId="3" fillId="3" borderId="1" xfId="0" applyNumberFormat="1" applyFont="1" applyFill="1" applyBorder="1" applyAlignment="1" applyProtection="1">
      <alignment horizontal="center"/>
    </xf>
    <xf numFmtId="1" fontId="4" fillId="3" borderId="1" xfId="0" applyNumberFormat="1" applyFont="1" applyFill="1" applyBorder="1" applyAlignment="1" applyProtection="1">
      <alignment horizontal="center"/>
    </xf>
    <xf numFmtId="0" fontId="4" fillId="0" borderId="0" xfId="0" applyFont="1" applyAlignment="1">
      <alignment vertical="justify" wrapText="1"/>
    </xf>
    <xf numFmtId="0" fontId="4" fillId="0" borderId="0" xfId="0" applyFont="1" applyAlignment="1">
      <alignment horizontal="left" vertical="justify" wrapText="1"/>
    </xf>
    <xf numFmtId="0" fontId="4" fillId="0" borderId="0" xfId="0" applyFont="1" applyAlignment="1">
      <alignment horizontal="left" vertical="justify"/>
    </xf>
    <xf numFmtId="3" fontId="4" fillId="5" borderId="1" xfId="0" applyNumberFormat="1" applyFont="1" applyFill="1" applyBorder="1" applyProtection="1"/>
    <xf numFmtId="3" fontId="3" fillId="5" borderId="1" xfId="0" applyNumberFormat="1" applyFont="1" applyFill="1" applyBorder="1" applyProtection="1"/>
    <xf numFmtId="37" fontId="3" fillId="5" borderId="1" xfId="0" applyNumberFormat="1" applyFont="1" applyFill="1" applyBorder="1" applyAlignment="1" applyProtection="1">
      <alignment horizontal="center"/>
    </xf>
    <xf numFmtId="3" fontId="3" fillId="5" borderId="1" xfId="0" applyNumberFormat="1" applyFont="1" applyFill="1" applyBorder="1" applyAlignment="1" applyProtection="1">
      <alignment horizontal="center"/>
    </xf>
    <xf numFmtId="0" fontId="4" fillId="2" borderId="2" xfId="0" applyFont="1" applyFill="1" applyBorder="1" applyProtection="1">
      <protection locked="0"/>
    </xf>
    <xf numFmtId="0" fontId="4" fillId="4" borderId="2" xfId="0" applyFont="1" applyFill="1" applyBorder="1" applyProtection="1">
      <protection locked="0"/>
    </xf>
    <xf numFmtId="37" fontId="4" fillId="3" borderId="9" xfId="0" applyNumberFormat="1" applyFont="1" applyFill="1" applyBorder="1" applyAlignment="1" applyProtection="1">
      <alignment horizontal="left"/>
    </xf>
    <xf numFmtId="3" fontId="4" fillId="2" borderId="10" xfId="0" applyNumberFormat="1" applyFont="1" applyFill="1" applyBorder="1" applyProtection="1">
      <protection locked="0"/>
    </xf>
    <xf numFmtId="0" fontId="4" fillId="3" borderId="2" xfId="0" applyFont="1" applyFill="1" applyBorder="1" applyProtection="1"/>
    <xf numFmtId="3" fontId="15" fillId="6" borderId="4" xfId="0" applyNumberFormat="1" applyFont="1" applyFill="1" applyBorder="1" applyAlignment="1" applyProtection="1">
      <alignment horizontal="center"/>
    </xf>
    <xf numFmtId="0" fontId="5" fillId="0" borderId="0" xfId="0" applyFont="1"/>
    <xf numFmtId="0" fontId="4" fillId="3" borderId="3" xfId="0" applyFont="1" applyFill="1" applyBorder="1" applyAlignment="1" applyProtection="1">
      <alignment horizontal="center" shrinkToFit="1"/>
    </xf>
    <xf numFmtId="0" fontId="4" fillId="3" borderId="6" xfId="0" applyFont="1" applyFill="1" applyBorder="1" applyAlignment="1" applyProtection="1">
      <alignment horizontal="center" shrinkToFit="1"/>
    </xf>
    <xf numFmtId="0" fontId="3"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left" vertical="center"/>
    </xf>
    <xf numFmtId="0" fontId="4" fillId="0" borderId="0" xfId="0" applyFont="1" applyAlignment="1">
      <alignment vertical="center" wrapText="1"/>
    </xf>
    <xf numFmtId="0" fontId="4" fillId="0" borderId="0" xfId="0" applyFont="1" applyAlignment="1" applyProtection="1">
      <alignment vertical="center" wrapText="1"/>
    </xf>
    <xf numFmtId="0" fontId="16" fillId="0" borderId="0" xfId="0" applyFont="1" applyAlignment="1">
      <alignment vertical="center" wrapText="1"/>
    </xf>
    <xf numFmtId="0" fontId="4" fillId="4" borderId="0" xfId="0" applyFont="1" applyFill="1" applyAlignment="1">
      <alignment vertical="center"/>
    </xf>
    <xf numFmtId="0" fontId="4" fillId="0" borderId="0" xfId="0" applyFont="1" applyFill="1" applyAlignment="1">
      <alignment vertical="center"/>
    </xf>
    <xf numFmtId="0" fontId="4" fillId="3" borderId="0" xfId="0" applyFont="1" applyFill="1" applyAlignment="1">
      <alignment vertical="center" wrapText="1"/>
    </xf>
    <xf numFmtId="0" fontId="4" fillId="0" borderId="0" xfId="0" applyFont="1" applyFill="1" applyAlignment="1">
      <alignment vertical="center" wrapText="1"/>
    </xf>
    <xf numFmtId="0" fontId="4" fillId="7" borderId="0" xfId="0" applyFont="1" applyFill="1" applyAlignment="1">
      <alignment vertical="center" wrapText="1"/>
    </xf>
    <xf numFmtId="0" fontId="4" fillId="8" borderId="0" xfId="0" applyFont="1" applyFill="1" applyAlignment="1">
      <alignment vertical="center"/>
    </xf>
    <xf numFmtId="37" fontId="4" fillId="0" borderId="0" xfId="0" applyNumberFormat="1" applyFont="1" applyFill="1" applyAlignment="1" applyProtection="1">
      <alignment horizontal="left" vertical="center" wrapText="1"/>
    </xf>
    <xf numFmtId="0" fontId="4" fillId="0" borderId="0" xfId="0" applyFont="1" applyAlignment="1" applyProtection="1">
      <alignment vertical="center"/>
      <protection locked="0"/>
    </xf>
    <xf numFmtId="37" fontId="12" fillId="3" borderId="0" xfId="0" applyNumberFormat="1" applyFont="1" applyFill="1" applyAlignment="1" applyProtection="1">
      <alignment horizontal="left" vertical="center"/>
    </xf>
    <xf numFmtId="0" fontId="0" fillId="3" borderId="0" xfId="0" applyFill="1" applyAlignment="1">
      <alignment horizontal="left" vertical="center"/>
    </xf>
    <xf numFmtId="37" fontId="3" fillId="3" borderId="0" xfId="0" applyNumberFormat="1" applyFont="1" applyFill="1" applyAlignment="1" applyProtection="1">
      <alignment horizontal="left" vertical="center"/>
    </xf>
    <xf numFmtId="0" fontId="4" fillId="3" borderId="0" xfId="0" applyFont="1" applyFill="1" applyAlignment="1" applyProtection="1">
      <alignment vertical="center"/>
    </xf>
    <xf numFmtId="37" fontId="4" fillId="4" borderId="8" xfId="0" applyNumberFormat="1" applyFont="1" applyFill="1" applyBorder="1" applyAlignment="1" applyProtection="1">
      <alignment horizontal="left" vertical="center"/>
      <protection locked="0"/>
    </xf>
    <xf numFmtId="0" fontId="4" fillId="4" borderId="8" xfId="0" applyFont="1" applyFill="1" applyBorder="1" applyAlignment="1" applyProtection="1">
      <alignment vertical="center"/>
    </xf>
    <xf numFmtId="37" fontId="4" fillId="4" borderId="11" xfId="0" applyNumberFormat="1" applyFont="1" applyFill="1" applyBorder="1" applyAlignment="1" applyProtection="1">
      <alignment horizontal="left" vertical="center"/>
      <protection locked="0"/>
    </xf>
    <xf numFmtId="0" fontId="4" fillId="4" borderId="11" xfId="0" applyFont="1" applyFill="1" applyBorder="1" applyAlignment="1" applyProtection="1">
      <alignment vertical="center"/>
    </xf>
    <xf numFmtId="0" fontId="12" fillId="3" borderId="0" xfId="0" applyFont="1" applyFill="1" applyAlignment="1" applyProtection="1">
      <alignment vertical="center"/>
    </xf>
    <xf numFmtId="37" fontId="4" fillId="3" borderId="0" xfId="0" applyNumberFormat="1" applyFont="1" applyFill="1" applyBorder="1" applyAlignment="1" applyProtection="1">
      <alignment horizontal="left" vertical="center"/>
      <protection locked="0"/>
    </xf>
    <xf numFmtId="37" fontId="4" fillId="3" borderId="0" xfId="0" applyNumberFormat="1" applyFont="1" applyFill="1" applyAlignment="1" applyProtection="1">
      <alignment horizontal="left" vertical="center"/>
    </xf>
    <xf numFmtId="0" fontId="3" fillId="4" borderId="1" xfId="0" applyFont="1" applyFill="1" applyBorder="1" applyAlignment="1" applyProtection="1">
      <alignment horizontal="center" vertical="center"/>
      <protection locked="0"/>
    </xf>
    <xf numFmtId="37" fontId="3" fillId="3" borderId="0" xfId="0" applyNumberFormat="1" applyFont="1" applyFill="1" applyAlignment="1" applyProtection="1">
      <alignment horizontal="centerContinuous" vertical="center"/>
    </xf>
    <xf numFmtId="0" fontId="4" fillId="3" borderId="0" xfId="0" applyFont="1" applyFill="1" applyAlignment="1" applyProtection="1">
      <alignment horizontal="centerContinuous" vertical="center"/>
    </xf>
    <xf numFmtId="0" fontId="3" fillId="9" borderId="0" xfId="0" applyFont="1" applyFill="1" applyAlignment="1" applyProtection="1">
      <alignment vertical="center"/>
    </xf>
    <xf numFmtId="0" fontId="4" fillId="9" borderId="0" xfId="0" applyFont="1" applyFill="1" applyAlignment="1" applyProtection="1">
      <alignment vertical="center"/>
    </xf>
    <xf numFmtId="37" fontId="3" fillId="10" borderId="0" xfId="0" applyNumberFormat="1" applyFont="1" applyFill="1" applyAlignment="1" applyProtection="1">
      <alignment horizontal="left" vertical="center"/>
    </xf>
    <xf numFmtId="0" fontId="4" fillId="10" borderId="0" xfId="0" applyFont="1" applyFill="1" applyAlignment="1" applyProtection="1">
      <alignment vertical="center"/>
    </xf>
    <xf numFmtId="0" fontId="4" fillId="3" borderId="8" xfId="0" applyFont="1" applyFill="1" applyBorder="1" applyAlignment="1" applyProtection="1">
      <alignment vertical="center"/>
    </xf>
    <xf numFmtId="0" fontId="4" fillId="7" borderId="3" xfId="0" applyNumberFormat="1" applyFont="1" applyFill="1" applyBorder="1" applyAlignment="1" applyProtection="1">
      <alignment horizontal="center" vertical="center"/>
    </xf>
    <xf numFmtId="0" fontId="4" fillId="7" borderId="4" xfId="0" applyNumberFormat="1" applyFont="1" applyFill="1" applyBorder="1" applyAlignment="1" applyProtection="1">
      <alignment horizontal="center" vertical="center"/>
    </xf>
    <xf numFmtId="37" fontId="4" fillId="3" borderId="0" xfId="0" applyNumberFormat="1" applyFont="1" applyFill="1" applyAlignment="1" applyProtection="1">
      <alignment horizontal="center" vertical="center"/>
    </xf>
    <xf numFmtId="37" fontId="4" fillId="7" borderId="7" xfId="0" applyNumberFormat="1" applyFont="1" applyFill="1" applyBorder="1" applyAlignment="1" applyProtection="1">
      <alignment horizontal="center" vertical="center"/>
    </xf>
    <xf numFmtId="37" fontId="4" fillId="3" borderId="1" xfId="0" applyNumberFormat="1" applyFont="1" applyFill="1" applyBorder="1" applyAlignment="1" applyProtection="1">
      <alignment horizontal="left" vertical="center"/>
    </xf>
    <xf numFmtId="0" fontId="4" fillId="3" borderId="1" xfId="0" applyFont="1" applyFill="1" applyBorder="1" applyAlignment="1" applyProtection="1">
      <alignment vertical="center"/>
    </xf>
    <xf numFmtId="3" fontId="4" fillId="2" borderId="1" xfId="0" applyNumberFormat="1" applyFont="1" applyFill="1" applyBorder="1" applyAlignment="1" applyProtection="1">
      <alignment vertical="center"/>
      <protection locked="0"/>
    </xf>
    <xf numFmtId="0" fontId="0" fillId="3" borderId="0" xfId="0" applyFill="1" applyAlignment="1">
      <alignment vertical="center"/>
    </xf>
    <xf numFmtId="0" fontId="4" fillId="2" borderId="1" xfId="0" applyFont="1" applyFill="1" applyBorder="1" applyAlignment="1" applyProtection="1">
      <alignment vertical="center"/>
      <protection locked="0"/>
    </xf>
    <xf numFmtId="37" fontId="4" fillId="3" borderId="8" xfId="0" applyNumberFormat="1" applyFont="1" applyFill="1" applyBorder="1" applyAlignment="1" applyProtection="1">
      <alignment horizontal="left" vertical="center"/>
    </xf>
    <xf numFmtId="37" fontId="4" fillId="3" borderId="11" xfId="0" applyNumberFormat="1" applyFont="1" applyFill="1" applyBorder="1" applyAlignment="1" applyProtection="1">
      <alignment vertical="center"/>
    </xf>
    <xf numFmtId="37" fontId="4" fillId="5" borderId="1" xfId="0" applyNumberFormat="1" applyFont="1" applyFill="1" applyBorder="1" applyAlignment="1" applyProtection="1">
      <alignment vertical="center"/>
    </xf>
    <xf numFmtId="37" fontId="4" fillId="3" borderId="0" xfId="0" applyNumberFormat="1" applyFont="1" applyFill="1" applyBorder="1" applyAlignment="1" applyProtection="1">
      <alignment horizontal="left" vertical="center"/>
    </xf>
    <xf numFmtId="0" fontId="4" fillId="3" borderId="0" xfId="0" applyFont="1" applyFill="1" applyBorder="1" applyAlignment="1" applyProtection="1">
      <alignment vertical="center"/>
    </xf>
    <xf numFmtId="37" fontId="4" fillId="3" borderId="0" xfId="0" applyNumberFormat="1" applyFont="1" applyFill="1" applyBorder="1" applyAlignment="1" applyProtection="1">
      <alignment vertical="center"/>
    </xf>
    <xf numFmtId="3" fontId="4" fillId="4" borderId="1" xfId="0" applyNumberFormat="1" applyFont="1" applyFill="1" applyBorder="1" applyAlignment="1" applyProtection="1">
      <alignment vertical="center"/>
      <protection locked="0"/>
    </xf>
    <xf numFmtId="164" fontId="4" fillId="2" borderId="1" xfId="0" applyNumberFormat="1" applyFont="1" applyFill="1" applyBorder="1" applyAlignment="1" applyProtection="1">
      <alignment vertical="center"/>
      <protection locked="0"/>
    </xf>
    <xf numFmtId="164" fontId="4" fillId="3" borderId="1" xfId="0" applyNumberFormat="1" applyFont="1" applyFill="1" applyBorder="1" applyAlignment="1" applyProtection="1">
      <alignment vertical="center"/>
      <protection locked="0"/>
    </xf>
    <xf numFmtId="164" fontId="4" fillId="3" borderId="8" xfId="0" applyNumberFormat="1" applyFont="1" applyFill="1" applyBorder="1" applyAlignment="1" applyProtection="1">
      <alignment vertical="center"/>
      <protection locked="0"/>
    </xf>
    <xf numFmtId="3" fontId="4" fillId="5" borderId="1" xfId="0" applyNumberFormat="1" applyFont="1" applyFill="1" applyBorder="1" applyAlignment="1" applyProtection="1">
      <alignment vertical="center"/>
    </xf>
    <xf numFmtId="164" fontId="4" fillId="3" borderId="0" xfId="0" applyNumberFormat="1" applyFont="1" applyFill="1" applyBorder="1" applyAlignment="1" applyProtection="1">
      <alignment vertical="center"/>
      <protection locked="0"/>
    </xf>
    <xf numFmtId="3" fontId="4" fillId="3" borderId="0" xfId="0" applyNumberFormat="1" applyFont="1" applyFill="1" applyBorder="1" applyAlignment="1" applyProtection="1">
      <alignment vertical="center"/>
      <protection locked="0"/>
    </xf>
    <xf numFmtId="37" fontId="4" fillId="9" borderId="0" xfId="0" applyNumberFormat="1" applyFont="1" applyFill="1" applyAlignment="1" applyProtection="1">
      <alignment horizontal="center" vertical="center"/>
    </xf>
    <xf numFmtId="0" fontId="4" fillId="9" borderId="8" xfId="0" applyFont="1" applyFill="1" applyBorder="1" applyAlignment="1">
      <alignment horizontal="center" vertical="center"/>
    </xf>
    <xf numFmtId="37" fontId="4" fillId="3" borderId="1" xfId="0" applyNumberFormat="1" applyFont="1" applyFill="1" applyBorder="1" applyAlignment="1" applyProtection="1">
      <alignment vertical="center"/>
    </xf>
    <xf numFmtId="0" fontId="4" fillId="3" borderId="12" xfId="0" applyFont="1" applyFill="1" applyBorder="1" applyAlignment="1" applyProtection="1">
      <alignment vertical="center"/>
    </xf>
    <xf numFmtId="164" fontId="4" fillId="5" borderId="1" xfId="0" applyNumberFormat="1" applyFont="1" applyFill="1" applyBorder="1" applyAlignment="1" applyProtection="1">
      <alignment vertical="center"/>
    </xf>
    <xf numFmtId="37" fontId="4" fillId="7" borderId="8" xfId="0" applyNumberFormat="1" applyFont="1" applyFill="1" applyBorder="1" applyAlignment="1" applyProtection="1">
      <alignment horizontal="left" vertical="center"/>
    </xf>
    <xf numFmtId="0" fontId="4" fillId="7" borderId="8" xfId="0" applyFont="1" applyFill="1" applyBorder="1" applyAlignment="1" applyProtection="1">
      <alignment vertical="center"/>
    </xf>
    <xf numFmtId="37" fontId="4" fillId="7" borderId="11" xfId="0" applyNumberFormat="1" applyFont="1" applyFill="1" applyBorder="1" applyAlignment="1" applyProtection="1">
      <alignment horizontal="left" vertical="center"/>
    </xf>
    <xf numFmtId="0" fontId="4" fillId="7" borderId="11" xfId="0" applyFont="1" applyFill="1" applyBorder="1" applyAlignment="1" applyProtection="1">
      <alignment vertical="center"/>
    </xf>
    <xf numFmtId="0" fontId="4" fillId="3" borderId="11" xfId="0" applyFont="1" applyFill="1" applyBorder="1" applyAlignment="1" applyProtection="1">
      <alignment vertical="center"/>
    </xf>
    <xf numFmtId="0" fontId="4" fillId="3" borderId="10" xfId="0" applyFont="1" applyFill="1" applyBorder="1" applyAlignment="1" applyProtection="1">
      <alignment vertical="center"/>
    </xf>
    <xf numFmtId="37" fontId="12" fillId="9" borderId="0" xfId="0" applyNumberFormat="1" applyFont="1" applyFill="1" applyAlignment="1" applyProtection="1">
      <alignment horizontal="left" vertical="center"/>
    </xf>
    <xf numFmtId="0" fontId="5" fillId="7" borderId="0" xfId="0" applyFont="1" applyFill="1" applyAlignment="1" applyProtection="1">
      <alignment vertical="center"/>
    </xf>
    <xf numFmtId="0" fontId="5" fillId="3" borderId="0" xfId="0" applyFont="1" applyFill="1" applyAlignment="1" applyProtection="1">
      <alignment horizontal="center" vertical="center"/>
    </xf>
    <xf numFmtId="3" fontId="4" fillId="3" borderId="0" xfId="0" applyNumberFormat="1" applyFont="1" applyFill="1" applyAlignment="1" applyProtection="1">
      <alignment vertical="center"/>
    </xf>
    <xf numFmtId="0" fontId="4" fillId="3" borderId="0" xfId="0" applyFont="1" applyFill="1" applyAlignment="1" applyProtection="1">
      <alignment vertical="center"/>
      <protection locked="0"/>
    </xf>
    <xf numFmtId="0" fontId="4" fillId="3" borderId="8" xfId="0" applyFont="1" applyFill="1" applyBorder="1" applyAlignment="1" applyProtection="1">
      <alignment horizontal="center" vertical="center"/>
    </xf>
    <xf numFmtId="0" fontId="4" fillId="3" borderId="8" xfId="0" applyFont="1" applyFill="1" applyBorder="1" applyAlignment="1" applyProtection="1">
      <alignment horizontal="center" vertical="center"/>
      <protection locked="0"/>
    </xf>
    <xf numFmtId="0" fontId="4" fillId="9" borderId="8" xfId="0" applyFont="1" applyFill="1" applyBorder="1" applyAlignment="1" applyProtection="1">
      <alignment vertical="center"/>
    </xf>
    <xf numFmtId="0" fontId="4" fillId="3" borderId="12" xfId="0" applyFont="1" applyFill="1" applyBorder="1" applyAlignment="1" applyProtection="1">
      <alignment vertical="center"/>
      <protection locked="0"/>
    </xf>
    <xf numFmtId="0" fontId="4" fillId="9" borderId="11" xfId="0" applyFont="1" applyFill="1" applyBorder="1" applyAlignment="1" applyProtection="1">
      <alignment vertical="center"/>
    </xf>
    <xf numFmtId="0" fontId="4" fillId="3" borderId="10" xfId="0" applyFont="1" applyFill="1" applyBorder="1" applyAlignment="1" applyProtection="1">
      <alignment vertical="center"/>
      <protection locked="0"/>
    </xf>
    <xf numFmtId="0" fontId="0" fillId="0" borderId="0" xfId="0" applyAlignment="1">
      <alignment vertical="center"/>
    </xf>
    <xf numFmtId="37" fontId="4" fillId="3" borderId="0" xfId="0" applyNumberFormat="1" applyFont="1" applyFill="1" applyAlignment="1">
      <alignment vertical="center"/>
    </xf>
    <xf numFmtId="0" fontId="4" fillId="3" borderId="0" xfId="0" applyFont="1" applyFill="1" applyAlignment="1">
      <alignment vertical="center"/>
    </xf>
    <xf numFmtId="37" fontId="4" fillId="3" borderId="12" xfId="0" applyNumberFormat="1" applyFont="1" applyFill="1" applyBorder="1" applyAlignment="1" applyProtection="1">
      <alignment horizontal="left" vertical="center"/>
    </xf>
    <xf numFmtId="37" fontId="4" fillId="3" borderId="11" xfId="0" applyNumberFormat="1" applyFont="1" applyFill="1" applyBorder="1" applyAlignment="1" applyProtection="1">
      <alignment horizontal="left" vertical="center"/>
    </xf>
    <xf numFmtId="3" fontId="4" fillId="4" borderId="11" xfId="0" applyNumberFormat="1" applyFont="1" applyFill="1" applyBorder="1" applyAlignment="1" applyProtection="1">
      <alignment vertical="center"/>
      <protection locked="0"/>
    </xf>
    <xf numFmtId="37" fontId="4" fillId="3" borderId="0" xfId="0" applyNumberFormat="1" applyFont="1" applyFill="1" applyBorder="1" applyAlignment="1" applyProtection="1">
      <alignment vertical="center"/>
      <protection locked="0"/>
    </xf>
    <xf numFmtId="37" fontId="4" fillId="3" borderId="7" xfId="0" applyNumberFormat="1" applyFont="1" applyFill="1" applyBorder="1" applyAlignment="1" applyProtection="1">
      <alignment horizontal="center" vertical="center" wrapText="1"/>
    </xf>
    <xf numFmtId="37" fontId="4" fillId="4" borderId="1" xfId="0" applyNumberFormat="1" applyFont="1" applyFill="1" applyBorder="1" applyAlignment="1" applyProtection="1">
      <alignment horizontal="right" vertical="center" wrapText="1"/>
      <protection locked="0"/>
    </xf>
    <xf numFmtId="37" fontId="4" fillId="5" borderId="1" xfId="0" applyNumberFormat="1" applyFont="1" applyFill="1" applyBorder="1" applyAlignment="1" applyProtection="1">
      <alignment horizontal="right" vertical="center" wrapText="1"/>
    </xf>
    <xf numFmtId="37" fontId="4" fillId="3" borderId="0" xfId="0" applyNumberFormat="1" applyFont="1" applyFill="1" applyBorder="1" applyAlignment="1" applyProtection="1">
      <alignment horizontal="center" vertical="center" wrapText="1"/>
    </xf>
    <xf numFmtId="0" fontId="12" fillId="3" borderId="0" xfId="0" applyFont="1" applyFill="1" applyBorder="1" applyAlignment="1" applyProtection="1">
      <alignment horizontal="center" vertical="center"/>
    </xf>
    <xf numFmtId="170" fontId="4" fillId="4" borderId="8" xfId="0" applyNumberFormat="1" applyFont="1" applyFill="1" applyBorder="1" applyAlignment="1" applyProtection="1">
      <alignment vertical="center"/>
      <protection locked="0"/>
    </xf>
    <xf numFmtId="170" fontId="4" fillId="4" borderId="11" xfId="0" applyNumberFormat="1" applyFont="1" applyFill="1" applyBorder="1" applyAlignment="1" applyProtection="1">
      <alignment vertical="center"/>
      <protection locked="0"/>
    </xf>
    <xf numFmtId="0" fontId="4" fillId="3" borderId="13" xfId="0" applyFont="1" applyFill="1" applyBorder="1" applyAlignment="1" applyProtection="1">
      <alignment vertical="center"/>
    </xf>
    <xf numFmtId="170" fontId="4" fillId="4" borderId="13" xfId="0" applyNumberFormat="1" applyFont="1" applyFill="1" applyBorder="1" applyAlignment="1" applyProtection="1">
      <alignment vertical="center"/>
      <protection locked="0"/>
    </xf>
    <xf numFmtId="0" fontId="0" fillId="3" borderId="0" xfId="0" applyFill="1" applyAlignment="1" applyProtection="1">
      <alignment vertical="center"/>
    </xf>
    <xf numFmtId="3" fontId="0" fillId="3" borderId="0" xfId="0" applyNumberFormat="1" applyFill="1" applyBorder="1" applyAlignment="1" applyProtection="1">
      <alignment vertical="center"/>
      <protection locked="0"/>
    </xf>
    <xf numFmtId="3" fontId="4" fillId="9" borderId="0" xfId="0" applyNumberFormat="1" applyFont="1" applyFill="1" applyAlignment="1" applyProtection="1">
      <alignment vertical="center"/>
    </xf>
    <xf numFmtId="3" fontId="4" fillId="7" borderId="0" xfId="0" applyNumberFormat="1" applyFont="1" applyFill="1" applyAlignment="1" applyProtection="1">
      <alignment vertical="center"/>
    </xf>
    <xf numFmtId="37" fontId="3" fillId="3" borderId="5" xfId="0" applyNumberFormat="1" applyFont="1" applyFill="1" applyBorder="1" applyAlignment="1" applyProtection="1">
      <alignment horizontal="left" vertical="center"/>
    </xf>
    <xf numFmtId="0" fontId="4" fillId="3" borderId="4" xfId="0" applyFont="1" applyFill="1" applyBorder="1" applyAlignment="1" applyProtection="1">
      <alignment vertical="center"/>
    </xf>
    <xf numFmtId="37" fontId="4" fillId="3" borderId="2" xfId="0" applyNumberFormat="1" applyFont="1" applyFill="1" applyBorder="1" applyAlignment="1">
      <alignment horizontal="left" vertical="center"/>
    </xf>
    <xf numFmtId="37" fontId="4" fillId="3" borderId="2" xfId="0" applyNumberFormat="1" applyFont="1" applyFill="1" applyBorder="1" applyAlignment="1" applyProtection="1">
      <alignment horizontal="left" vertical="center"/>
    </xf>
    <xf numFmtId="3" fontId="4" fillId="4" borderId="10" xfId="0" applyNumberFormat="1" applyFont="1" applyFill="1" applyBorder="1" applyAlignment="1" applyProtection="1">
      <alignment vertical="center"/>
      <protection locked="0"/>
    </xf>
    <xf numFmtId="3" fontId="4" fillId="5" borderId="10" xfId="0" applyNumberFormat="1" applyFont="1" applyFill="1" applyBorder="1" applyAlignment="1" applyProtection="1">
      <alignment vertical="center"/>
    </xf>
    <xf numFmtId="3" fontId="4" fillId="3" borderId="8" xfId="0" applyNumberFormat="1" applyFont="1" applyFill="1" applyBorder="1" applyAlignment="1" applyProtection="1">
      <alignment vertical="center"/>
    </xf>
    <xf numFmtId="3" fontId="4" fillId="3" borderId="12" xfId="0" applyNumberFormat="1" applyFont="1" applyFill="1" applyBorder="1" applyAlignment="1" applyProtection="1">
      <alignment vertical="center"/>
    </xf>
    <xf numFmtId="3" fontId="4" fillId="3" borderId="10" xfId="0" applyNumberFormat="1" applyFont="1" applyFill="1" applyBorder="1" applyAlignment="1" applyProtection="1">
      <alignment vertical="center"/>
    </xf>
    <xf numFmtId="0" fontId="4" fillId="3" borderId="0" xfId="0" applyFont="1" applyFill="1" applyAlignment="1" applyProtection="1">
      <alignment horizontal="center" vertical="center"/>
    </xf>
    <xf numFmtId="0" fontId="4" fillId="3" borderId="0" xfId="0" applyFont="1" applyFill="1" applyAlignment="1">
      <alignment horizontal="center" vertical="center"/>
    </xf>
    <xf numFmtId="37" fontId="4" fillId="8" borderId="0" xfId="0" applyNumberFormat="1" applyFont="1" applyFill="1" applyBorder="1" applyAlignment="1" applyProtection="1">
      <alignment horizontal="left" vertical="center"/>
    </xf>
    <xf numFmtId="0" fontId="4" fillId="8" borderId="0" xfId="0" applyFont="1" applyFill="1" applyAlignment="1" applyProtection="1">
      <alignment vertical="center"/>
    </xf>
    <xf numFmtId="0" fontId="0" fillId="8" borderId="0" xfId="0" applyFill="1" applyAlignment="1">
      <alignment vertical="center"/>
    </xf>
    <xf numFmtId="0" fontId="3" fillId="9" borderId="14" xfId="0" applyFont="1" applyFill="1" applyBorder="1" applyAlignment="1">
      <alignment vertical="center"/>
    </xf>
    <xf numFmtId="0" fontId="1" fillId="9" borderId="14" xfId="0" applyFont="1" applyFill="1" applyBorder="1" applyAlignment="1">
      <alignment vertical="center"/>
    </xf>
    <xf numFmtId="0" fontId="0" fillId="9" borderId="14" xfId="0" applyFill="1" applyBorder="1" applyAlignment="1" applyProtection="1">
      <alignment vertical="center"/>
      <protection locked="0"/>
    </xf>
    <xf numFmtId="0" fontId="0" fillId="10" borderId="14" xfId="0" applyFill="1" applyBorder="1" applyAlignment="1">
      <alignment vertical="center"/>
    </xf>
    <xf numFmtId="0" fontId="4" fillId="3" borderId="8" xfId="0" applyFont="1" applyFill="1" applyBorder="1" applyAlignment="1">
      <alignment vertical="center"/>
    </xf>
    <xf numFmtId="0" fontId="0" fillId="3" borderId="8" xfId="0" applyFill="1" applyBorder="1" applyAlignment="1">
      <alignment vertical="center"/>
    </xf>
    <xf numFmtId="0" fontId="0" fillId="3" borderId="12" xfId="0" applyFill="1" applyBorder="1" applyAlignment="1">
      <alignment vertical="center"/>
    </xf>
    <xf numFmtId="3" fontId="4" fillId="4" borderId="7" xfId="0" applyNumberFormat="1" applyFont="1" applyFill="1" applyBorder="1" applyAlignment="1" applyProtection="1">
      <alignment vertical="center"/>
      <protection locked="0"/>
    </xf>
    <xf numFmtId="0" fontId="4" fillId="3" borderId="11" xfId="0" applyFont="1" applyFill="1" applyBorder="1" applyAlignment="1">
      <alignment vertical="center"/>
    </xf>
    <xf numFmtId="0" fontId="0" fillId="3" borderId="11" xfId="0" applyFill="1" applyBorder="1" applyAlignment="1">
      <alignment vertical="center"/>
    </xf>
    <xf numFmtId="0" fontId="0" fillId="3" borderId="10" xfId="0" applyFill="1" applyBorder="1" applyAlignment="1">
      <alignment vertical="center"/>
    </xf>
    <xf numFmtId="0" fontId="4" fillId="7" borderId="3" xfId="0" applyFont="1" applyFill="1" applyBorder="1" applyAlignment="1">
      <alignment horizontal="center" vertical="center"/>
    </xf>
    <xf numFmtId="0" fontId="4" fillId="7" borderId="6" xfId="0" applyFont="1" applyFill="1" applyBorder="1" applyAlignment="1">
      <alignment horizontal="center" vertical="center"/>
    </xf>
    <xf numFmtId="0" fontId="15" fillId="3" borderId="0" xfId="0" applyFont="1" applyFill="1" applyAlignment="1">
      <alignment vertical="center"/>
    </xf>
    <xf numFmtId="0" fontId="19" fillId="3" borderId="0" xfId="0" applyFont="1" applyFill="1" applyAlignment="1">
      <alignment vertical="center"/>
    </xf>
    <xf numFmtId="0" fontId="4" fillId="7" borderId="7" xfId="0" applyFont="1" applyFill="1" applyBorder="1" applyAlignment="1">
      <alignment horizontal="center" vertical="center"/>
    </xf>
    <xf numFmtId="0" fontId="15" fillId="0" borderId="0" xfId="0" applyFont="1" applyFill="1" applyAlignment="1">
      <alignment vertical="center"/>
    </xf>
    <xf numFmtId="37" fontId="4" fillId="3" borderId="7" xfId="0" applyNumberFormat="1" applyFont="1" applyFill="1" applyBorder="1" applyAlignment="1">
      <alignment vertical="center"/>
    </xf>
    <xf numFmtId="37" fontId="4" fillId="3" borderId="1" xfId="0" applyNumberFormat="1" applyFont="1" applyFill="1" applyBorder="1" applyAlignment="1">
      <alignment vertical="center"/>
    </xf>
    <xf numFmtId="0" fontId="4" fillId="3" borderId="0" xfId="0" applyFont="1" applyFill="1" applyAlignment="1" applyProtection="1">
      <alignment horizontal="right" vertical="center"/>
    </xf>
    <xf numFmtId="37" fontId="4" fillId="3" borderId="0" xfId="0" applyNumberFormat="1" applyFont="1" applyFill="1" applyAlignment="1" applyProtection="1">
      <alignment horizontal="centerContinuous" vertical="center"/>
    </xf>
    <xf numFmtId="37" fontId="4" fillId="3" borderId="2" xfId="0" applyNumberFormat="1" applyFont="1" applyFill="1" applyBorder="1" applyAlignment="1" applyProtection="1">
      <alignment horizontal="centerContinuous" vertical="center"/>
    </xf>
    <xf numFmtId="0" fontId="4" fillId="3" borderId="11" xfId="0" applyFont="1" applyFill="1" applyBorder="1" applyAlignment="1" applyProtection="1">
      <alignment horizontal="centerContinuous" vertical="center"/>
    </xf>
    <xf numFmtId="0" fontId="4" fillId="3" borderId="10" xfId="0" applyFont="1" applyFill="1" applyBorder="1" applyAlignment="1" applyProtection="1">
      <alignment horizontal="centerContinuous" vertical="center"/>
    </xf>
    <xf numFmtId="37" fontId="4" fillId="3" borderId="8" xfId="0" applyNumberFormat="1" applyFont="1" applyFill="1" applyBorder="1" applyAlignment="1" applyProtection="1">
      <alignment horizontal="fill" vertical="center"/>
    </xf>
    <xf numFmtId="37" fontId="4" fillId="3" borderId="3" xfId="0" applyNumberFormat="1" applyFont="1" applyFill="1" applyBorder="1" applyAlignment="1" applyProtection="1">
      <alignment horizontal="left" vertical="center"/>
    </xf>
    <xf numFmtId="37" fontId="4" fillId="3" borderId="3" xfId="0" applyNumberFormat="1" applyFont="1" applyFill="1" applyBorder="1" applyAlignment="1" applyProtection="1">
      <alignment horizontal="center" vertical="center"/>
    </xf>
    <xf numFmtId="37" fontId="4" fillId="3" borderId="6" xfId="0" applyNumberFormat="1" applyFont="1" applyFill="1" applyBorder="1" applyAlignment="1" applyProtection="1">
      <alignment horizontal="center" vertical="center"/>
    </xf>
    <xf numFmtId="0" fontId="4" fillId="3" borderId="6" xfId="0" applyFont="1" applyFill="1" applyBorder="1" applyAlignment="1">
      <alignment horizontal="center" vertical="center"/>
    </xf>
    <xf numFmtId="37" fontId="3" fillId="3" borderId="8" xfId="0" applyNumberFormat="1" applyFont="1" applyFill="1" applyBorder="1" applyAlignment="1" applyProtection="1">
      <alignment horizontal="left" vertical="center"/>
    </xf>
    <xf numFmtId="37" fontId="4" fillId="3" borderId="7" xfId="0" applyNumberFormat="1" applyFont="1" applyFill="1" applyBorder="1" applyAlignment="1" applyProtection="1">
      <alignment horizontal="center" vertical="center"/>
    </xf>
    <xf numFmtId="0" fontId="4" fillId="3" borderId="7" xfId="0" applyFont="1" applyFill="1" applyBorder="1" applyAlignment="1">
      <alignment horizontal="center" vertical="center"/>
    </xf>
    <xf numFmtId="37" fontId="4" fillId="3" borderId="1" xfId="0" applyNumberFormat="1" applyFont="1" applyFill="1" applyBorder="1" applyAlignment="1" applyProtection="1">
      <alignment horizontal="center" vertical="center"/>
    </xf>
    <xf numFmtId="0" fontId="4" fillId="3" borderId="3" xfId="0" applyFont="1" applyFill="1" applyBorder="1" applyAlignment="1" applyProtection="1">
      <alignment vertical="center"/>
    </xf>
    <xf numFmtId="0" fontId="4" fillId="3" borderId="6" xfId="0" applyFont="1" applyFill="1" applyBorder="1" applyAlignment="1" applyProtection="1">
      <alignment vertical="center"/>
    </xf>
    <xf numFmtId="37" fontId="12" fillId="3" borderId="2" xfId="0" applyNumberFormat="1" applyFont="1" applyFill="1" applyBorder="1" applyAlignment="1" applyProtection="1">
      <alignment horizontal="left" vertical="center"/>
    </xf>
    <xf numFmtId="37" fontId="12" fillId="3" borderId="10" xfId="0" applyNumberFormat="1" applyFont="1" applyFill="1" applyBorder="1" applyAlignment="1" applyProtection="1">
      <alignment horizontal="center" vertical="center"/>
    </xf>
    <xf numFmtId="0" fontId="4" fillId="3" borderId="1" xfId="0" applyFont="1" applyFill="1" applyBorder="1" applyAlignment="1" applyProtection="1">
      <alignment horizontal="center" vertical="center"/>
    </xf>
    <xf numFmtId="0" fontId="4" fillId="3" borderId="7" xfId="0" applyFont="1" applyFill="1" applyBorder="1" applyAlignment="1" applyProtection="1">
      <alignment vertical="center"/>
    </xf>
    <xf numFmtId="37" fontId="4" fillId="5" borderId="1" xfId="0" applyNumberFormat="1" applyFont="1" applyFill="1" applyBorder="1" applyAlignment="1" applyProtection="1">
      <alignment horizontal="center" vertical="center"/>
    </xf>
    <xf numFmtId="37" fontId="4" fillId="3" borderId="2" xfId="0" applyNumberFormat="1" applyFont="1" applyFill="1" applyBorder="1" applyAlignment="1" applyProtection="1">
      <alignment vertical="center"/>
    </xf>
    <xf numFmtId="0" fontId="4" fillId="3" borderId="10" xfId="0" applyFont="1" applyFill="1" applyBorder="1" applyAlignment="1" applyProtection="1">
      <alignment horizontal="center" vertical="center"/>
    </xf>
    <xf numFmtId="37" fontId="4" fillId="3" borderId="10" xfId="0" applyNumberFormat="1" applyFont="1" applyFill="1" applyBorder="1" applyAlignment="1" applyProtection="1">
      <alignment horizontal="center" vertical="center"/>
    </xf>
    <xf numFmtId="0" fontId="4" fillId="3" borderId="15" xfId="0" applyFont="1" applyFill="1" applyBorder="1" applyAlignment="1" applyProtection="1">
      <alignment horizontal="center" vertical="center"/>
    </xf>
    <xf numFmtId="0" fontId="4" fillId="3" borderId="4" xfId="0" applyFont="1" applyFill="1" applyBorder="1" applyAlignment="1" applyProtection="1">
      <alignment horizontal="center" vertical="center"/>
    </xf>
    <xf numFmtId="37" fontId="4" fillId="11" borderId="1" xfId="0" applyNumberFormat="1" applyFont="1" applyFill="1" applyBorder="1" applyAlignment="1" applyProtection="1">
      <alignment horizontal="left" vertical="center"/>
    </xf>
    <xf numFmtId="0" fontId="4" fillId="11" borderId="1" xfId="0" applyFont="1" applyFill="1" applyBorder="1" applyAlignment="1" applyProtection="1">
      <alignment vertical="center"/>
    </xf>
    <xf numFmtId="37" fontId="4" fillId="11" borderId="1" xfId="0" applyNumberFormat="1" applyFont="1" applyFill="1" applyBorder="1" applyAlignment="1" applyProtection="1">
      <alignment vertical="center"/>
    </xf>
    <xf numFmtId="37" fontId="5" fillId="3" borderId="6" xfId="0" applyNumberFormat="1" applyFont="1" applyFill="1" applyBorder="1" applyAlignment="1" applyProtection="1">
      <alignment horizontal="left" vertical="center"/>
    </xf>
    <xf numFmtId="37" fontId="4" fillId="3" borderId="7" xfId="0" applyNumberFormat="1" applyFont="1" applyFill="1" applyBorder="1" applyAlignment="1" applyProtection="1">
      <alignment horizontal="left" vertical="center"/>
    </xf>
    <xf numFmtId="37" fontId="4" fillId="3" borderId="0" xfId="0" applyNumberFormat="1" applyFont="1" applyFill="1" applyAlignment="1" applyProtection="1">
      <alignment horizontal="right" vertical="center"/>
    </xf>
    <xf numFmtId="0" fontId="4" fillId="4" borderId="8" xfId="0" applyFont="1" applyFill="1" applyBorder="1" applyAlignment="1" applyProtection="1">
      <alignment vertical="center"/>
      <protection locked="0"/>
    </xf>
    <xf numFmtId="0" fontId="4" fillId="3" borderId="0" xfId="0" applyFont="1" applyFill="1" applyBorder="1" applyAlignment="1" applyProtection="1">
      <alignment horizontal="right" vertical="center"/>
    </xf>
    <xf numFmtId="0" fontId="4" fillId="3" borderId="0" xfId="0" applyFont="1" applyFill="1" applyAlignment="1" applyProtection="1">
      <alignment horizontal="left" vertical="center"/>
    </xf>
    <xf numFmtId="0" fontId="3" fillId="3" borderId="0" xfId="0" applyFont="1" applyFill="1" applyAlignment="1">
      <alignment horizontal="center" vertical="center"/>
    </xf>
    <xf numFmtId="0" fontId="3" fillId="3" borderId="0" xfId="0" applyFont="1" applyFill="1" applyAlignment="1">
      <alignment horizontal="center" vertical="center" wrapText="1"/>
    </xf>
    <xf numFmtId="0" fontId="4" fillId="3" borderId="0" xfId="0" quotePrefix="1" applyFont="1" applyFill="1" applyAlignment="1">
      <alignment horizontal="right" vertical="center"/>
    </xf>
    <xf numFmtId="3" fontId="4" fillId="3" borderId="0" xfId="0" applyNumberFormat="1" applyFont="1" applyFill="1" applyAlignment="1">
      <alignment vertical="center"/>
    </xf>
    <xf numFmtId="3" fontId="4" fillId="3" borderId="0" xfId="0" quotePrefix="1" applyNumberFormat="1" applyFont="1" applyFill="1" applyAlignment="1">
      <alignment vertical="center"/>
    </xf>
    <xf numFmtId="3" fontId="4" fillId="3" borderId="8" xfId="0" applyNumberFormat="1" applyFont="1" applyFill="1" applyBorder="1" applyAlignment="1">
      <alignment vertical="center"/>
    </xf>
    <xf numFmtId="3" fontId="4" fillId="3" borderId="11" xfId="0" applyNumberFormat="1" applyFont="1" applyFill="1" applyBorder="1" applyAlignment="1" applyProtection="1">
      <alignment horizontal="right" vertical="center"/>
    </xf>
    <xf numFmtId="0" fontId="3" fillId="3" borderId="0" xfId="0" applyFont="1" applyFill="1" applyAlignment="1">
      <alignment vertical="center"/>
    </xf>
    <xf numFmtId="3" fontId="4" fillId="3" borderId="11" xfId="0" applyNumberFormat="1" applyFont="1" applyFill="1" applyBorder="1" applyAlignment="1">
      <alignment vertical="center"/>
    </xf>
    <xf numFmtId="3" fontId="4" fillId="3" borderId="0" xfId="0" applyNumberFormat="1" applyFont="1" applyFill="1" applyBorder="1" applyAlignment="1">
      <alignment vertical="center"/>
    </xf>
    <xf numFmtId="0" fontId="4" fillId="3" borderId="0" xfId="0" quotePrefix="1" applyFont="1" applyFill="1" applyAlignment="1">
      <alignment vertical="center"/>
    </xf>
    <xf numFmtId="0" fontId="4" fillId="3" borderId="0" xfId="0" applyFont="1" applyFill="1" applyAlignment="1">
      <alignment horizontal="right" vertical="center"/>
    </xf>
    <xf numFmtId="3" fontId="4" fillId="3" borderId="11" xfId="0" applyNumberFormat="1" applyFont="1" applyFill="1" applyBorder="1" applyAlignment="1" applyProtection="1">
      <alignment vertical="center"/>
    </xf>
    <xf numFmtId="3" fontId="4" fillId="3" borderId="13" xfId="0" applyNumberFormat="1" applyFont="1" applyFill="1" applyBorder="1" applyAlignment="1">
      <alignment vertical="center"/>
    </xf>
    <xf numFmtId="0" fontId="4" fillId="3" borderId="13" xfId="0" applyFont="1" applyFill="1" applyBorder="1" applyAlignment="1">
      <alignment vertical="center"/>
    </xf>
    <xf numFmtId="0" fontId="4" fillId="3" borderId="0" xfId="0" applyFont="1" applyFill="1" applyBorder="1" applyAlignment="1">
      <alignment vertical="center"/>
    </xf>
    <xf numFmtId="167" fontId="4" fillId="3" borderId="8" xfId="0" applyNumberFormat="1" applyFont="1" applyFill="1" applyBorder="1" applyAlignment="1">
      <alignment vertical="center"/>
    </xf>
    <xf numFmtId="0" fontId="4" fillId="3" borderId="0" xfId="0" quotePrefix="1" applyFont="1" applyFill="1" applyBorder="1" applyAlignment="1">
      <alignment vertical="center"/>
    </xf>
    <xf numFmtId="3" fontId="4" fillId="3" borderId="16" xfId="0" applyNumberFormat="1" applyFont="1" applyFill="1" applyBorder="1" applyAlignment="1">
      <alignment vertical="center"/>
    </xf>
    <xf numFmtId="3" fontId="4" fillId="3" borderId="8" xfId="1" applyNumberFormat="1" applyFont="1" applyFill="1" applyBorder="1" applyAlignment="1" applyProtection="1">
      <alignment vertical="center"/>
    </xf>
    <xf numFmtId="0" fontId="6" fillId="0" borderId="0" xfId="0" applyFont="1" applyAlignment="1">
      <alignment vertical="center"/>
    </xf>
    <xf numFmtId="37" fontId="4" fillId="3" borderId="0" xfId="0" applyNumberFormat="1" applyFont="1" applyFill="1" applyAlignment="1" applyProtection="1">
      <alignment vertical="center"/>
    </xf>
    <xf numFmtId="0" fontId="4" fillId="3" borderId="8" xfId="0" applyFont="1" applyFill="1" applyBorder="1" applyAlignment="1" applyProtection="1">
      <alignment horizontal="centerContinuous" vertical="center"/>
    </xf>
    <xf numFmtId="0" fontId="4" fillId="3" borderId="0" xfId="0" applyFont="1" applyFill="1" applyBorder="1" applyAlignment="1" applyProtection="1">
      <alignment horizontal="centerContinuous" vertical="center"/>
    </xf>
    <xf numFmtId="0" fontId="4" fillId="3" borderId="3" xfId="0" applyFont="1" applyFill="1" applyBorder="1" applyAlignment="1" applyProtection="1">
      <alignment horizontal="center" vertical="center"/>
    </xf>
    <xf numFmtId="37" fontId="4" fillId="3" borderId="4" xfId="0" applyNumberFormat="1" applyFont="1" applyFill="1" applyBorder="1" applyAlignment="1" applyProtection="1">
      <alignment horizontal="center" vertical="center"/>
    </xf>
    <xf numFmtId="0" fontId="4" fillId="3" borderId="7" xfId="0" applyFont="1" applyFill="1" applyBorder="1" applyAlignment="1" applyProtection="1">
      <alignment horizontal="center" vertical="center"/>
    </xf>
    <xf numFmtId="3" fontId="4" fillId="5" borderId="17" xfId="0" applyNumberFormat="1" applyFont="1" applyFill="1" applyBorder="1" applyAlignment="1" applyProtection="1">
      <alignment horizontal="center" vertical="center"/>
    </xf>
    <xf numFmtId="166" fontId="4" fillId="3" borderId="0" xfId="0" applyNumberFormat="1" applyFont="1" applyFill="1" applyAlignment="1" applyProtection="1">
      <alignment vertical="center"/>
    </xf>
    <xf numFmtId="37" fontId="4" fillId="3" borderId="8" xfId="0" applyNumberFormat="1" applyFont="1" applyFill="1" applyBorder="1" applyAlignment="1" applyProtection="1">
      <alignment vertical="center"/>
    </xf>
    <xf numFmtId="3" fontId="4" fillId="3" borderId="0" xfId="0" applyNumberFormat="1" applyFont="1" applyFill="1" applyBorder="1" applyAlignment="1" applyProtection="1">
      <alignment vertical="center"/>
    </xf>
    <xf numFmtId="165" fontId="4" fillId="5" borderId="8" xfId="0" applyNumberFormat="1" applyFont="1" applyFill="1" applyBorder="1" applyAlignment="1" applyProtection="1">
      <alignment vertical="center"/>
    </xf>
    <xf numFmtId="0" fontId="4" fillId="0" borderId="0" xfId="0" applyFont="1" applyAlignment="1" applyProtection="1">
      <alignment horizontal="center" vertical="center"/>
      <protection locked="0"/>
    </xf>
    <xf numFmtId="0" fontId="3" fillId="3" borderId="3" xfId="0" applyFont="1" applyFill="1" applyBorder="1" applyAlignment="1" applyProtection="1">
      <alignment horizontal="center" vertical="center"/>
    </xf>
    <xf numFmtId="0" fontId="3" fillId="3" borderId="6" xfId="0" applyFont="1" applyFill="1" applyBorder="1" applyAlignment="1" applyProtection="1">
      <alignment horizontal="center" vertical="center"/>
    </xf>
    <xf numFmtId="0" fontId="3" fillId="3" borderId="7" xfId="0" applyFont="1" applyFill="1" applyBorder="1" applyAlignment="1" applyProtection="1">
      <alignment horizontal="center" vertical="center"/>
    </xf>
    <xf numFmtId="1" fontId="4" fillId="3" borderId="7" xfId="0" applyNumberFormat="1" applyFont="1" applyFill="1" applyBorder="1" applyAlignment="1" applyProtection="1">
      <alignment horizontal="center" vertical="center"/>
    </xf>
    <xf numFmtId="0" fontId="4" fillId="4" borderId="7" xfId="0" applyFont="1" applyFill="1" applyBorder="1" applyAlignment="1" applyProtection="1">
      <alignment vertical="center"/>
      <protection locked="0"/>
    </xf>
    <xf numFmtId="0" fontId="4" fillId="4" borderId="7" xfId="0" applyFont="1" applyFill="1" applyBorder="1" applyAlignment="1" applyProtection="1">
      <alignment horizontal="center" vertical="center"/>
      <protection locked="0"/>
    </xf>
    <xf numFmtId="0" fontId="4" fillId="4" borderId="1" xfId="0" applyFont="1" applyFill="1" applyBorder="1" applyAlignment="1" applyProtection="1">
      <alignment vertical="center"/>
      <protection locked="0"/>
    </xf>
    <xf numFmtId="0" fontId="3" fillId="3" borderId="1" xfId="0" applyFont="1" applyFill="1" applyBorder="1" applyAlignment="1" applyProtection="1">
      <alignment horizontal="center" vertical="center"/>
    </xf>
    <xf numFmtId="3" fontId="4" fillId="5" borderId="1" xfId="0" applyNumberFormat="1" applyFont="1" applyFill="1" applyBorder="1" applyAlignment="1" applyProtection="1">
      <alignment horizontal="center" vertical="center"/>
    </xf>
    <xf numFmtId="0" fontId="4" fillId="3" borderId="0" xfId="0" applyFont="1" applyFill="1" applyAlignment="1" applyProtection="1">
      <alignment horizontal="center" vertical="center"/>
      <protection locked="0"/>
    </xf>
    <xf numFmtId="37" fontId="3" fillId="3" borderId="1" xfId="0" applyNumberFormat="1" applyFont="1" applyFill="1" applyBorder="1" applyAlignment="1" applyProtection="1">
      <alignment horizontal="center" vertical="center"/>
    </xf>
    <xf numFmtId="0" fontId="4" fillId="4" borderId="1" xfId="0" applyFont="1" applyFill="1" applyBorder="1" applyAlignment="1" applyProtection="1">
      <alignment horizontal="center" vertical="center"/>
      <protection locked="0"/>
    </xf>
    <xf numFmtId="0" fontId="4" fillId="3" borderId="0" xfId="0" applyNumberFormat="1" applyFont="1" applyFill="1" applyAlignment="1" applyProtection="1">
      <alignment horizontal="right" vertical="center"/>
    </xf>
    <xf numFmtId="0" fontId="3" fillId="3" borderId="0" xfId="420" applyFont="1" applyFill="1" applyAlignment="1" applyProtection="1">
      <alignment horizontal="centerContinuous" vertical="center"/>
    </xf>
    <xf numFmtId="0" fontId="4" fillId="3" borderId="8" xfId="0" applyFont="1" applyFill="1" applyBorder="1" applyAlignment="1" applyProtection="1">
      <alignment horizontal="fill" vertical="center"/>
    </xf>
    <xf numFmtId="0" fontId="4" fillId="3" borderId="6" xfId="0" applyFont="1" applyFill="1" applyBorder="1" applyAlignment="1" applyProtection="1">
      <alignment horizontal="center" vertical="center"/>
    </xf>
    <xf numFmtId="0" fontId="7" fillId="3" borderId="7" xfId="0" applyFont="1" applyFill="1" applyBorder="1" applyAlignment="1" applyProtection="1">
      <alignment horizontal="center" vertical="center"/>
    </xf>
    <xf numFmtId="14" fontId="4" fillId="3" borderId="7" xfId="0" quotePrefix="1" applyNumberFormat="1" applyFont="1" applyFill="1" applyBorder="1" applyAlignment="1" applyProtection="1">
      <alignment horizontal="center" vertical="center"/>
    </xf>
    <xf numFmtId="0" fontId="4" fillId="2" borderId="1" xfId="0" applyFont="1" applyFill="1" applyBorder="1" applyAlignment="1" applyProtection="1">
      <alignment horizontal="center" vertical="center"/>
      <protection locked="0"/>
    </xf>
    <xf numFmtId="1" fontId="4" fillId="2" borderId="1" xfId="0" applyNumberFormat="1" applyFont="1" applyFill="1" applyBorder="1" applyAlignment="1" applyProtection="1">
      <alignment horizontal="center" vertical="center"/>
      <protection locked="0"/>
    </xf>
    <xf numFmtId="2" fontId="4" fillId="2" borderId="1" xfId="0" applyNumberFormat="1" applyFont="1" applyFill="1" applyBorder="1" applyAlignment="1" applyProtection="1">
      <alignment horizontal="center" vertical="center"/>
      <protection locked="0"/>
    </xf>
    <xf numFmtId="3" fontId="4" fillId="2" borderId="1" xfId="0" applyNumberFormat="1" applyFont="1" applyFill="1" applyBorder="1" applyAlignment="1" applyProtection="1">
      <alignment horizontal="center" vertical="center"/>
      <protection locked="0"/>
    </xf>
    <xf numFmtId="0" fontId="3" fillId="3" borderId="0" xfId="0" applyFont="1" applyFill="1" applyAlignment="1" applyProtection="1">
      <alignment horizontal="left" vertical="center"/>
    </xf>
    <xf numFmtId="3" fontId="3" fillId="5" borderId="17" xfId="0" applyNumberFormat="1" applyFont="1" applyFill="1" applyBorder="1" applyAlignment="1" applyProtection="1">
      <alignment horizontal="center" vertical="center"/>
    </xf>
    <xf numFmtId="0" fontId="4" fillId="8" borderId="0" xfId="419" applyFont="1" applyFill="1" applyAlignment="1" applyProtection="1">
      <alignment vertical="center"/>
    </xf>
    <xf numFmtId="0" fontId="4" fillId="0" borderId="0" xfId="0" applyFont="1" applyAlignment="1">
      <alignment horizontal="centerContinuous" vertical="center"/>
    </xf>
    <xf numFmtId="37" fontId="4" fillId="3" borderId="0" xfId="0" applyNumberFormat="1" applyFont="1" applyFill="1" applyBorder="1" applyAlignment="1" applyProtection="1">
      <alignment horizontal="fill" vertical="center"/>
    </xf>
    <xf numFmtId="1" fontId="4" fillId="3" borderId="2" xfId="0" applyNumberFormat="1" applyFont="1" applyFill="1" applyBorder="1" applyAlignment="1" applyProtection="1">
      <alignment horizontal="centerContinuous" vertical="center"/>
    </xf>
    <xf numFmtId="1" fontId="4" fillId="3" borderId="3" xfId="0" applyNumberFormat="1" applyFont="1" applyFill="1" applyBorder="1" applyAlignment="1" applyProtection="1">
      <alignment horizontal="center" vertical="center"/>
    </xf>
    <xf numFmtId="37" fontId="4" fillId="3" borderId="7" xfId="0" applyNumberFormat="1" applyFont="1" applyFill="1" applyBorder="1" applyAlignment="1" applyProtection="1">
      <alignment horizontal="fill" vertical="center"/>
    </xf>
    <xf numFmtId="1" fontId="5" fillId="3" borderId="0" xfId="0" applyNumberFormat="1" applyFont="1" applyFill="1" applyAlignment="1" applyProtection="1">
      <alignment horizontal="center" vertical="center"/>
    </xf>
    <xf numFmtId="3" fontId="4" fillId="3" borderId="8" xfId="0" applyNumberFormat="1" applyFont="1" applyFill="1" applyBorder="1" applyAlignment="1" applyProtection="1">
      <alignment horizontal="center" vertical="center"/>
    </xf>
    <xf numFmtId="0" fontId="4" fillId="4" borderId="0" xfId="0" applyFont="1" applyFill="1" applyAlignment="1" applyProtection="1">
      <alignment horizontal="left" vertical="center"/>
      <protection locked="0"/>
    </xf>
    <xf numFmtId="0" fontId="4" fillId="3" borderId="3" xfId="0" applyFont="1" applyFill="1" applyBorder="1" applyAlignment="1" applyProtection="1">
      <alignment horizontal="center" vertical="center" wrapText="1"/>
    </xf>
    <xf numFmtId="0" fontId="4" fillId="3" borderId="4" xfId="0" applyFont="1" applyFill="1" applyBorder="1" applyAlignment="1" applyProtection="1">
      <alignment horizontal="center" vertical="center" wrapText="1"/>
    </xf>
    <xf numFmtId="0" fontId="4" fillId="3" borderId="1" xfId="0" applyFont="1" applyFill="1" applyBorder="1" applyAlignment="1" applyProtection="1">
      <alignment horizontal="center" vertical="center" wrapText="1"/>
    </xf>
    <xf numFmtId="3" fontId="4" fillId="4" borderId="1" xfId="0" applyNumberFormat="1" applyFont="1" applyFill="1" applyBorder="1" applyAlignment="1" applyProtection="1">
      <alignment horizontal="center" vertical="center"/>
      <protection locked="0"/>
    </xf>
    <xf numFmtId="172" fontId="4" fillId="3" borderId="1" xfId="0" applyNumberFormat="1" applyFont="1" applyFill="1" applyBorder="1" applyAlignment="1" applyProtection="1">
      <alignment horizontal="center" vertical="center"/>
    </xf>
    <xf numFmtId="3" fontId="4" fillId="3" borderId="1" xfId="0" applyNumberFormat="1" applyFont="1" applyFill="1" applyBorder="1" applyAlignment="1" applyProtection="1">
      <alignment horizontal="center" vertical="center"/>
    </xf>
    <xf numFmtId="3" fontId="4" fillId="4" borderId="3" xfId="0" applyNumberFormat="1" applyFont="1" applyFill="1" applyBorder="1" applyAlignment="1" applyProtection="1">
      <alignment horizontal="center" vertical="center"/>
      <protection locked="0"/>
    </xf>
    <xf numFmtId="3" fontId="4" fillId="3" borderId="17" xfId="0" applyNumberFormat="1" applyFont="1" applyFill="1" applyBorder="1" applyAlignment="1" applyProtection="1">
      <alignment horizontal="center" vertical="center"/>
    </xf>
    <xf numFmtId="172" fontId="4" fillId="3" borderId="17" xfId="0" applyNumberFormat="1" applyFont="1" applyFill="1" applyBorder="1" applyAlignment="1" applyProtection="1">
      <alignment horizontal="center" vertical="center"/>
    </xf>
    <xf numFmtId="172" fontId="4" fillId="3" borderId="8" xfId="0" applyNumberFormat="1" applyFont="1" applyFill="1" applyBorder="1" applyAlignment="1" applyProtection="1">
      <alignment horizontal="center" vertical="center"/>
    </xf>
    <xf numFmtId="172" fontId="4" fillId="3" borderId="0" xfId="0" applyNumberFormat="1" applyFont="1" applyFill="1" applyBorder="1" applyAlignment="1" applyProtection="1">
      <alignment horizontal="center" vertical="center"/>
    </xf>
    <xf numFmtId="3" fontId="4" fillId="3" borderId="8" xfId="0" applyNumberFormat="1" applyFont="1" applyFill="1" applyBorder="1" applyAlignment="1">
      <alignment horizontal="center" vertical="center"/>
    </xf>
    <xf numFmtId="0" fontId="0" fillId="3" borderId="0" xfId="0" applyFill="1" applyAlignment="1">
      <alignment horizontal="center" vertical="center"/>
    </xf>
    <xf numFmtId="172" fontId="4" fillId="3" borderId="8" xfId="0" applyNumberFormat="1" applyFont="1" applyFill="1" applyBorder="1" applyAlignment="1">
      <alignment horizontal="center" vertical="center"/>
    </xf>
    <xf numFmtId="170" fontId="4" fillId="3" borderId="0" xfId="0" applyNumberFormat="1" applyFont="1" applyFill="1" applyBorder="1" applyAlignment="1" applyProtection="1">
      <alignment vertical="center"/>
    </xf>
    <xf numFmtId="0" fontId="0" fillId="0" borderId="0" xfId="0" applyNumberFormat="1" applyFont="1" applyFill="1" applyBorder="1" applyAlignment="1" applyProtection="1">
      <alignment vertical="center"/>
    </xf>
    <xf numFmtId="0" fontId="4" fillId="0" borderId="0" xfId="0" applyNumberFormat="1" applyFont="1" applyFill="1" applyBorder="1" applyAlignment="1" applyProtection="1">
      <alignment vertical="center"/>
    </xf>
    <xf numFmtId="0" fontId="3" fillId="0" borderId="0" xfId="0" applyNumberFormat="1" applyFont="1" applyFill="1" applyBorder="1" applyAlignment="1" applyProtection="1">
      <alignment vertical="center" wrapText="1"/>
    </xf>
    <xf numFmtId="0" fontId="20" fillId="3" borderId="0" xfId="0" applyFont="1" applyFill="1" applyAlignment="1">
      <alignment horizontal="center" vertical="center"/>
    </xf>
    <xf numFmtId="0" fontId="4" fillId="3" borderId="10" xfId="0" applyFont="1" applyFill="1" applyBorder="1" applyAlignment="1">
      <alignment horizontal="center" vertical="center"/>
    </xf>
    <xf numFmtId="0" fontId="11" fillId="3" borderId="3" xfId="0" applyFont="1" applyFill="1" applyBorder="1" applyAlignment="1">
      <alignment vertical="center"/>
    </xf>
    <xf numFmtId="0" fontId="11" fillId="3" borderId="10" xfId="0" applyFont="1" applyFill="1" applyBorder="1" applyAlignment="1">
      <alignment horizontal="center" vertical="center"/>
    </xf>
    <xf numFmtId="0" fontId="11" fillId="3" borderId="4" xfId="0" applyFont="1" applyFill="1" applyBorder="1" applyAlignment="1">
      <alignment vertical="center"/>
    </xf>
    <xf numFmtId="0" fontId="11" fillId="3" borderId="1" xfId="0" applyFont="1" applyFill="1" applyBorder="1" applyAlignment="1">
      <alignment horizontal="center" vertical="center"/>
    </xf>
    <xf numFmtId="0" fontId="4" fillId="3" borderId="10" xfId="0" applyFont="1" applyFill="1" applyBorder="1" applyAlignment="1">
      <alignment vertical="center"/>
    </xf>
    <xf numFmtId="0" fontId="4" fillId="3" borderId="1" xfId="0" applyFont="1" applyFill="1" applyBorder="1" applyAlignment="1">
      <alignment horizontal="center" vertical="center"/>
    </xf>
    <xf numFmtId="0" fontId="11" fillId="3" borderId="9" xfId="0" applyFont="1" applyFill="1" applyBorder="1" applyAlignment="1">
      <alignment vertical="center"/>
    </xf>
    <xf numFmtId="3" fontId="11" fillId="4" borderId="1" xfId="0" applyNumberFormat="1" applyFont="1" applyFill="1" applyBorder="1" applyAlignment="1" applyProtection="1">
      <alignment horizontal="center" vertical="center"/>
      <protection locked="0"/>
    </xf>
    <xf numFmtId="0" fontId="11" fillId="3" borderId="8" xfId="0" applyFont="1" applyFill="1" applyBorder="1" applyAlignment="1">
      <alignment vertical="center"/>
    </xf>
    <xf numFmtId="3" fontId="11" fillId="5" borderId="1" xfId="0" applyNumberFormat="1" applyFont="1" applyFill="1" applyBorder="1" applyAlignment="1">
      <alignment horizontal="center" vertical="center"/>
    </xf>
    <xf numFmtId="0" fontId="11" fillId="3" borderId="0" xfId="0" applyFont="1" applyFill="1" applyAlignment="1">
      <alignment vertical="center"/>
    </xf>
    <xf numFmtId="3" fontId="11" fillId="3" borderId="0" xfId="0" applyNumberFormat="1" applyFont="1" applyFill="1" applyAlignment="1">
      <alignment horizontal="center" vertical="center"/>
    </xf>
    <xf numFmtId="0" fontId="11" fillId="3" borderId="0" xfId="0" applyFont="1" applyFill="1" applyAlignment="1">
      <alignment horizontal="center" vertical="center"/>
    </xf>
    <xf numFmtId="0" fontId="11" fillId="4" borderId="1" xfId="0" applyFont="1" applyFill="1" applyBorder="1" applyAlignment="1" applyProtection="1">
      <alignment vertical="center"/>
      <protection locked="0"/>
    </xf>
    <xf numFmtId="3" fontId="11" fillId="4" borderId="4" xfId="0" applyNumberFormat="1" applyFont="1" applyFill="1" applyBorder="1" applyAlignment="1" applyProtection="1">
      <alignment vertical="center"/>
      <protection locked="0"/>
    </xf>
    <xf numFmtId="0" fontId="11" fillId="4" borderId="4" xfId="0" applyFont="1" applyFill="1" applyBorder="1" applyAlignment="1" applyProtection="1">
      <alignment vertical="center"/>
      <protection locked="0"/>
    </xf>
    <xf numFmtId="0" fontId="11" fillId="4" borderId="0" xfId="0" applyFont="1" applyFill="1" applyAlignment="1" applyProtection="1">
      <alignment vertical="center"/>
      <protection locked="0"/>
    </xf>
    <xf numFmtId="0" fontId="11" fillId="4" borderId="10" xfId="0" applyFont="1" applyFill="1" applyBorder="1" applyAlignment="1" applyProtection="1">
      <alignment vertical="center"/>
      <protection locked="0"/>
    </xf>
    <xf numFmtId="0" fontId="11" fillId="4" borderId="7" xfId="0" applyFont="1" applyFill="1" applyBorder="1" applyAlignment="1" applyProtection="1">
      <alignment vertical="center"/>
      <protection locked="0"/>
    </xf>
    <xf numFmtId="0" fontId="11" fillId="4" borderId="15" xfId="0" applyFont="1" applyFill="1" applyBorder="1" applyAlignment="1" applyProtection="1">
      <alignment vertical="center"/>
      <protection locked="0"/>
    </xf>
    <xf numFmtId="3" fontId="17" fillId="11" borderId="1" xfId="0" applyNumberFormat="1" applyFont="1" applyFill="1" applyBorder="1" applyAlignment="1">
      <alignment horizontal="center" vertical="center"/>
    </xf>
    <xf numFmtId="3" fontId="27" fillId="11" borderId="0" xfId="0" applyNumberFormat="1" applyFont="1" applyFill="1" applyAlignment="1">
      <alignment horizontal="center" vertical="center"/>
    </xf>
    <xf numFmtId="3" fontId="4" fillId="0" borderId="0" xfId="0" applyNumberFormat="1" applyFont="1" applyAlignment="1">
      <alignment vertical="center"/>
    </xf>
    <xf numFmtId="1" fontId="4" fillId="3" borderId="0" xfId="0" applyNumberFormat="1" applyFont="1" applyFill="1" applyBorder="1" applyAlignment="1" applyProtection="1">
      <alignment horizontal="right" vertical="center"/>
    </xf>
    <xf numFmtId="0" fontId="3" fillId="3" borderId="0" xfId="0" applyFont="1" applyFill="1" applyAlignment="1" applyProtection="1">
      <alignment vertical="center"/>
    </xf>
    <xf numFmtId="166" fontId="4" fillId="3" borderId="8" xfId="0" applyNumberFormat="1" applyFont="1" applyFill="1" applyBorder="1" applyAlignment="1" applyProtection="1">
      <alignment vertical="center"/>
    </xf>
    <xf numFmtId="37" fontId="4" fillId="3" borderId="8" xfId="0" quotePrefix="1" applyNumberFormat="1" applyFont="1" applyFill="1" applyBorder="1" applyAlignment="1" applyProtection="1">
      <alignment horizontal="right" vertical="center"/>
    </xf>
    <xf numFmtId="3" fontId="4" fillId="2" borderId="10" xfId="0" applyNumberFormat="1" applyFont="1" applyFill="1" applyBorder="1" applyAlignment="1" applyProtection="1">
      <alignment vertical="center"/>
      <protection locked="0"/>
    </xf>
    <xf numFmtId="3" fontId="4" fillId="3" borderId="1" xfId="0" applyNumberFormat="1" applyFont="1" applyFill="1" applyBorder="1" applyAlignment="1" applyProtection="1">
      <alignment vertical="center"/>
    </xf>
    <xf numFmtId="37" fontId="4" fillId="3" borderId="9" xfId="0" applyNumberFormat="1" applyFont="1" applyFill="1" applyBorder="1" applyAlignment="1" applyProtection="1">
      <alignment horizontal="left" vertical="center"/>
    </xf>
    <xf numFmtId="0" fontId="4" fillId="2" borderId="2" xfId="0" applyFont="1" applyFill="1" applyBorder="1" applyAlignment="1" applyProtection="1">
      <alignment vertical="center"/>
      <protection locked="0"/>
    </xf>
    <xf numFmtId="37" fontId="4" fillId="2" borderId="1" xfId="0" applyNumberFormat="1" applyFont="1" applyFill="1" applyBorder="1" applyAlignment="1" applyProtection="1">
      <alignment vertical="center"/>
      <protection locked="0"/>
    </xf>
    <xf numFmtId="0" fontId="4" fillId="4" borderId="2" xfId="0" applyFont="1" applyFill="1" applyBorder="1" applyAlignment="1" applyProtection="1">
      <alignment vertical="center"/>
      <protection locked="0"/>
    </xf>
    <xf numFmtId="37" fontId="4" fillId="2" borderId="2" xfId="0" applyNumberFormat="1" applyFont="1" applyFill="1" applyBorder="1" applyAlignment="1" applyProtection="1">
      <alignment horizontal="left" vertical="center"/>
      <protection locked="0"/>
    </xf>
    <xf numFmtId="0" fontId="4" fillId="3" borderId="2" xfId="0" applyFont="1" applyFill="1" applyBorder="1" applyAlignment="1" applyProtection="1">
      <alignment vertical="center"/>
    </xf>
    <xf numFmtId="3" fontId="15" fillId="6" borderId="4" xfId="0" applyNumberFormat="1" applyFont="1" applyFill="1" applyBorder="1" applyAlignment="1" applyProtection="1">
      <alignment horizontal="center" vertical="center"/>
    </xf>
    <xf numFmtId="37" fontId="3" fillId="3" borderId="2" xfId="0" applyNumberFormat="1" applyFont="1" applyFill="1" applyBorder="1" applyAlignment="1" applyProtection="1">
      <alignment horizontal="left" vertical="center"/>
    </xf>
    <xf numFmtId="37" fontId="3" fillId="5" borderId="1" xfId="0" applyNumberFormat="1" applyFont="1" applyFill="1" applyBorder="1" applyAlignment="1" applyProtection="1">
      <alignment vertical="center"/>
    </xf>
    <xf numFmtId="3" fontId="3" fillId="5" borderId="1" xfId="0" applyNumberFormat="1" applyFont="1" applyFill="1" applyBorder="1" applyAlignment="1" applyProtection="1">
      <alignment vertical="center"/>
    </xf>
    <xf numFmtId="3" fontId="4" fillId="3" borderId="0" xfId="0" applyNumberFormat="1" applyFont="1" applyFill="1" applyAlignment="1" applyProtection="1">
      <alignment horizontal="center" vertical="center"/>
    </xf>
    <xf numFmtId="0" fontId="13" fillId="3" borderId="0" xfId="0" applyFont="1" applyFill="1" applyAlignment="1" applyProtection="1">
      <alignment horizontal="center" vertical="center"/>
    </xf>
    <xf numFmtId="0" fontId="4" fillId="3" borderId="7" xfId="0" applyNumberFormat="1" applyFont="1" applyFill="1" applyBorder="1" applyAlignment="1" applyProtection="1">
      <alignment horizontal="center" vertical="center"/>
    </xf>
    <xf numFmtId="0" fontId="4" fillId="3" borderId="2" xfId="0" applyFont="1" applyFill="1" applyBorder="1" applyAlignment="1" applyProtection="1">
      <alignment horizontal="left" vertical="center"/>
    </xf>
    <xf numFmtId="0" fontId="4" fillId="3" borderId="9" xfId="0" applyFont="1" applyFill="1" applyBorder="1" applyAlignment="1" applyProtection="1">
      <alignment horizontal="left" vertical="center"/>
    </xf>
    <xf numFmtId="0" fontId="4" fillId="2" borderId="2" xfId="0" applyFont="1" applyFill="1" applyBorder="1" applyAlignment="1" applyProtection="1">
      <alignment horizontal="left" vertical="center"/>
      <protection locked="0"/>
    </xf>
    <xf numFmtId="3" fontId="4" fillId="3" borderId="8" xfId="0" applyNumberFormat="1" applyFont="1" applyFill="1" applyBorder="1" applyAlignment="1" applyProtection="1">
      <alignment horizontal="fill" vertical="center"/>
    </xf>
    <xf numFmtId="3" fontId="4" fillId="3" borderId="1" xfId="0" applyNumberFormat="1" applyFont="1" applyFill="1" applyBorder="1" applyAlignment="1" applyProtection="1">
      <alignment horizontal="fill" vertical="center"/>
    </xf>
    <xf numFmtId="0" fontId="15" fillId="0" borderId="0" xfId="0" applyFont="1" applyAlignment="1" applyProtection="1">
      <alignment vertical="center"/>
    </xf>
    <xf numFmtId="37" fontId="3" fillId="5" borderId="2" xfId="0" applyNumberFormat="1" applyFont="1" applyFill="1" applyBorder="1" applyAlignment="1" applyProtection="1">
      <alignment horizontal="left" vertical="center"/>
    </xf>
    <xf numFmtId="3" fontId="4" fillId="11" borderId="17" xfId="0" applyNumberFormat="1" applyFont="1" applyFill="1" applyBorder="1" applyAlignment="1" applyProtection="1">
      <alignment vertical="center"/>
    </xf>
    <xf numFmtId="37" fontId="4" fillId="3" borderId="0" xfId="0" quotePrefix="1" applyNumberFormat="1" applyFont="1" applyFill="1" applyAlignment="1" applyProtection="1">
      <alignment horizontal="right" vertical="center"/>
    </xf>
    <xf numFmtId="3" fontId="4" fillId="3" borderId="1" xfId="1" applyNumberFormat="1" applyFont="1" applyFill="1" applyBorder="1" applyAlignment="1" applyProtection="1">
      <alignment horizontal="right" vertical="center"/>
    </xf>
    <xf numFmtId="3" fontId="4" fillId="2" borderId="1" xfId="0" applyNumberFormat="1" applyFont="1" applyFill="1" applyBorder="1" applyAlignment="1" applyProtection="1">
      <alignment horizontal="right" vertical="center"/>
      <protection locked="0"/>
    </xf>
    <xf numFmtId="3" fontId="4" fillId="3" borderId="1" xfId="0" applyNumberFormat="1" applyFont="1" applyFill="1" applyBorder="1" applyAlignment="1" applyProtection="1">
      <alignment horizontal="right" vertical="center"/>
    </xf>
    <xf numFmtId="0" fontId="4" fillId="3" borderId="2" xfId="0" applyNumberFormat="1" applyFont="1" applyFill="1" applyBorder="1" applyAlignment="1" applyProtection="1">
      <alignment horizontal="left" vertical="center"/>
    </xf>
    <xf numFmtId="0" fontId="4" fillId="2" borderId="2" xfId="0" applyNumberFormat="1" applyFont="1" applyFill="1" applyBorder="1" applyAlignment="1" applyProtection="1">
      <alignment horizontal="left" vertical="center"/>
      <protection locked="0"/>
    </xf>
    <xf numFmtId="0" fontId="4" fillId="2" borderId="5" xfId="0" applyNumberFormat="1" applyFont="1" applyFill="1" applyBorder="1" applyAlignment="1" applyProtection="1">
      <alignment horizontal="left" vertical="center"/>
      <protection locked="0"/>
    </xf>
    <xf numFmtId="3" fontId="15" fillId="6" borderId="1" xfId="0" applyNumberFormat="1" applyFont="1" applyFill="1" applyBorder="1" applyAlignment="1" applyProtection="1">
      <alignment horizontal="center" vertical="center"/>
    </xf>
    <xf numFmtId="3" fontId="3" fillId="5" borderId="7" xfId="0" applyNumberFormat="1" applyFont="1" applyFill="1" applyBorder="1" applyAlignment="1" applyProtection="1">
      <alignment horizontal="right" vertical="center"/>
    </xf>
    <xf numFmtId="3" fontId="3" fillId="5" borderId="1" xfId="0" applyNumberFormat="1" applyFont="1" applyFill="1" applyBorder="1" applyAlignment="1" applyProtection="1">
      <alignment horizontal="right" vertical="center"/>
    </xf>
    <xf numFmtId="3" fontId="4" fillId="5" borderId="1" xfId="0" applyNumberFormat="1" applyFont="1" applyFill="1" applyBorder="1" applyAlignment="1" applyProtection="1">
      <alignment horizontal="right" vertical="center"/>
    </xf>
    <xf numFmtId="0" fontId="4" fillId="3" borderId="0" xfId="0" applyFont="1" applyFill="1" applyBorder="1" applyAlignment="1" applyProtection="1">
      <alignment horizontal="fill" vertical="center"/>
    </xf>
    <xf numFmtId="37" fontId="4" fillId="3" borderId="1" xfId="0" applyNumberFormat="1" applyFont="1" applyFill="1" applyBorder="1" applyAlignment="1" applyProtection="1">
      <alignment horizontal="fill" vertical="center"/>
    </xf>
    <xf numFmtId="37" fontId="4" fillId="2" borderId="2" xfId="0" applyNumberFormat="1" applyFont="1" applyFill="1" applyBorder="1" applyAlignment="1" applyProtection="1">
      <alignment vertical="center"/>
      <protection locked="0"/>
    </xf>
    <xf numFmtId="0" fontId="3" fillId="3" borderId="2" xfId="0" applyFont="1" applyFill="1" applyBorder="1" applyAlignment="1" applyProtection="1">
      <alignment horizontal="left" vertical="center"/>
    </xf>
    <xf numFmtId="0" fontId="4" fillId="5" borderId="2" xfId="0" applyFont="1" applyFill="1" applyBorder="1" applyAlignment="1" applyProtection="1">
      <alignment horizontal="left" vertical="center"/>
      <protection locked="0"/>
    </xf>
    <xf numFmtId="0" fontId="4" fillId="5" borderId="2" xfId="0" applyFont="1" applyFill="1" applyBorder="1" applyAlignment="1" applyProtection="1">
      <alignment vertical="center"/>
    </xf>
    <xf numFmtId="0" fontId="4" fillId="3" borderId="1" xfId="0" applyFont="1" applyFill="1" applyBorder="1" applyAlignment="1" applyProtection="1">
      <alignment horizontal="left" vertical="center"/>
    </xf>
    <xf numFmtId="0" fontId="4" fillId="2" borderId="1" xfId="0" applyFont="1" applyFill="1" applyBorder="1" applyAlignment="1" applyProtection="1">
      <alignment horizontal="left" vertical="center"/>
      <protection locked="0"/>
    </xf>
    <xf numFmtId="37" fontId="3" fillId="11" borderId="17" xfId="0" applyNumberFormat="1" applyFont="1" applyFill="1" applyBorder="1" applyAlignment="1" applyProtection="1">
      <alignment vertical="center"/>
    </xf>
    <xf numFmtId="0" fontId="4" fillId="12" borderId="0" xfId="0" applyNumberFormat="1" applyFont="1" applyFill="1" applyBorder="1" applyAlignment="1" applyProtection="1">
      <alignment vertical="center"/>
    </xf>
    <xf numFmtId="37" fontId="4" fillId="12" borderId="0" xfId="0" applyNumberFormat="1" applyFont="1" applyFill="1" applyBorder="1" applyAlignment="1" applyProtection="1">
      <alignment vertical="center"/>
    </xf>
    <xf numFmtId="0" fontId="4" fillId="12" borderId="0" xfId="0" applyNumberFormat="1" applyFont="1" applyFill="1" applyBorder="1" applyAlignment="1" applyProtection="1">
      <alignment horizontal="left" vertical="center"/>
    </xf>
    <xf numFmtId="0" fontId="4" fillId="12" borderId="18" xfId="0" applyNumberFormat="1" applyFont="1" applyFill="1" applyBorder="1" applyAlignment="1" applyProtection="1">
      <alignment horizontal="left" vertical="center"/>
    </xf>
    <xf numFmtId="37" fontId="4" fillId="12" borderId="18" xfId="0" applyNumberFormat="1" applyFont="1" applyFill="1" applyBorder="1" applyAlignment="1" applyProtection="1">
      <alignment vertical="center"/>
    </xf>
    <xf numFmtId="0" fontId="4" fillId="13" borderId="18" xfId="0" applyNumberFormat="1" applyFont="1" applyFill="1" applyBorder="1" applyAlignment="1" applyProtection="1">
      <alignment horizontal="left" vertical="center"/>
      <protection locked="0"/>
    </xf>
    <xf numFmtId="37" fontId="4" fillId="13" borderId="18" xfId="0" applyNumberFormat="1" applyFont="1" applyFill="1" applyBorder="1" applyAlignment="1" applyProtection="1">
      <alignment vertical="center"/>
      <protection locked="0"/>
    </xf>
    <xf numFmtId="37" fontId="3" fillId="14" borderId="18" xfId="0" applyNumberFormat="1" applyFont="1" applyFill="1" applyBorder="1" applyAlignment="1" applyProtection="1">
      <alignment vertical="center"/>
    </xf>
    <xf numFmtId="0" fontId="4" fillId="12" borderId="18" xfId="0" applyNumberFormat="1" applyFont="1" applyFill="1" applyBorder="1" applyAlignment="1" applyProtection="1">
      <alignment vertical="center"/>
    </xf>
    <xf numFmtId="37" fontId="4" fillId="14" borderId="18" xfId="0" applyNumberFormat="1" applyFont="1" applyFill="1" applyBorder="1" applyAlignment="1" applyProtection="1">
      <alignment vertical="center"/>
    </xf>
    <xf numFmtId="0" fontId="15" fillId="12" borderId="0" xfId="0" applyNumberFormat="1" applyFont="1" applyFill="1" applyBorder="1" applyAlignment="1" applyProtection="1">
      <alignment vertical="center"/>
    </xf>
    <xf numFmtId="37" fontId="3" fillId="15" borderId="19" xfId="0" applyNumberFormat="1" applyFont="1" applyFill="1" applyBorder="1" applyAlignment="1" applyProtection="1">
      <alignment vertical="center"/>
    </xf>
    <xf numFmtId="0" fontId="4" fillId="0" borderId="0" xfId="412" applyFont="1" applyAlignment="1">
      <alignment vertical="center"/>
    </xf>
    <xf numFmtId="0" fontId="4" fillId="0" borderId="0" xfId="412" applyFont="1" applyAlignment="1">
      <alignment vertical="center" wrapText="1"/>
    </xf>
    <xf numFmtId="0" fontId="4" fillId="0" borderId="0" xfId="390" applyFont="1" applyAlignment="1">
      <alignment vertical="center"/>
    </xf>
    <xf numFmtId="0" fontId="4" fillId="0" borderId="0" xfId="21" applyFont="1" applyAlignment="1">
      <alignment vertical="center"/>
    </xf>
    <xf numFmtId="0" fontId="4" fillId="0" borderId="0" xfId="37" applyFont="1" applyAlignment="1">
      <alignment vertical="center"/>
    </xf>
    <xf numFmtId="0" fontId="28" fillId="0" borderId="0" xfId="395"/>
    <xf numFmtId="0" fontId="4" fillId="0" borderId="0" xfId="395" applyFont="1" applyAlignment="1">
      <alignment horizontal="left" vertical="center"/>
    </xf>
    <xf numFmtId="173" fontId="11" fillId="0" borderId="0" xfId="395" applyNumberFormat="1" applyFont="1" applyAlignment="1">
      <alignment horizontal="left" vertical="center"/>
    </xf>
    <xf numFmtId="49" fontId="4" fillId="0" borderId="0" xfId="395" applyNumberFormat="1" applyFont="1" applyAlignment="1">
      <alignment horizontal="left" vertical="center"/>
    </xf>
    <xf numFmtId="0" fontId="11" fillId="0" borderId="0" xfId="395" applyFont="1" applyAlignment="1">
      <alignment horizontal="left" vertical="center"/>
    </xf>
    <xf numFmtId="174" fontId="11" fillId="0" borderId="0" xfId="395" applyNumberFormat="1" applyFont="1" applyAlignment="1">
      <alignment horizontal="left" vertical="center"/>
    </xf>
    <xf numFmtId="0" fontId="14" fillId="0" borderId="0" xfId="0" applyFont="1" applyAlignment="1">
      <alignment horizontal="center"/>
    </xf>
    <xf numFmtId="0" fontId="2" fillId="0" borderId="0" xfId="0" applyFont="1"/>
    <xf numFmtId="0" fontId="29" fillId="0" borderId="0" xfId="0" applyFont="1"/>
    <xf numFmtId="0" fontId="29" fillId="0" borderId="0" xfId="0" applyFont="1" applyAlignment="1"/>
    <xf numFmtId="0" fontId="2" fillId="0" borderId="0" xfId="0" quotePrefix="1" applyFont="1"/>
    <xf numFmtId="0" fontId="2" fillId="0" borderId="0" xfId="150" applyFont="1"/>
    <xf numFmtId="0" fontId="2" fillId="0" borderId="0" xfId="150" applyFont="1" applyFill="1"/>
    <xf numFmtId="0" fontId="2" fillId="0" borderId="0" xfId="0" applyFont="1" applyAlignment="1"/>
    <xf numFmtId="0" fontId="0" fillId="0" borderId="0" xfId="0" applyAlignment="1"/>
    <xf numFmtId="0" fontId="29" fillId="0" borderId="0" xfId="0" applyFont="1" applyAlignment="1">
      <alignment horizontal="center"/>
    </xf>
    <xf numFmtId="0" fontId="4" fillId="0" borderId="0" xfId="77" applyFont="1" applyAlignment="1">
      <alignment vertical="center"/>
    </xf>
    <xf numFmtId="0" fontId="5" fillId="0" borderId="0" xfId="81" applyFont="1" applyAlignment="1">
      <alignment vertical="center"/>
    </xf>
    <xf numFmtId="0" fontId="4" fillId="0" borderId="0" xfId="149" applyFont="1" applyAlignment="1">
      <alignment vertical="center" wrapText="1"/>
    </xf>
    <xf numFmtId="0" fontId="4" fillId="0" borderId="0" xfId="89" applyFont="1" applyAlignment="1">
      <alignment vertical="center" wrapText="1"/>
    </xf>
    <xf numFmtId="0" fontId="4" fillId="3" borderId="0" xfId="0" applyFont="1" applyFill="1"/>
    <xf numFmtId="0" fontId="48" fillId="3" borderId="0" xfId="0" applyFont="1" applyFill="1" applyAlignment="1" applyProtection="1">
      <alignment horizontal="right" vertical="center"/>
      <protection locked="0"/>
    </xf>
    <xf numFmtId="0" fontId="7" fillId="3" borderId="0" xfId="0" applyFont="1" applyFill="1" applyAlignment="1" applyProtection="1">
      <alignment horizontal="left" vertical="center"/>
      <protection locked="0"/>
    </xf>
    <xf numFmtId="14" fontId="4" fillId="2" borderId="1" xfId="0" applyNumberFormat="1" applyFont="1" applyFill="1" applyBorder="1" applyAlignment="1" applyProtection="1">
      <alignment horizontal="center" vertical="center"/>
      <protection locked="0"/>
    </xf>
    <xf numFmtId="14" fontId="4" fillId="2" borderId="1" xfId="0" applyNumberFormat="1" applyFont="1" applyFill="1" applyBorder="1" applyAlignment="1" applyProtection="1">
      <alignment horizontal="center"/>
      <protection locked="0"/>
    </xf>
    <xf numFmtId="3" fontId="11" fillId="5" borderId="7" xfId="0" applyNumberFormat="1" applyFont="1" applyFill="1" applyBorder="1" applyAlignment="1">
      <alignment horizontal="center" vertical="center"/>
    </xf>
    <xf numFmtId="37" fontId="13" fillId="3" borderId="0" xfId="0" applyNumberFormat="1" applyFont="1" applyFill="1" applyAlignment="1" applyProtection="1">
      <alignment horizontal="center" vertical="center"/>
    </xf>
    <xf numFmtId="3" fontId="4" fillId="2" borderId="2" xfId="0" applyNumberFormat="1" applyFont="1" applyFill="1" applyBorder="1" applyAlignment="1" applyProtection="1">
      <alignment vertical="center"/>
      <protection locked="0"/>
    </xf>
    <xf numFmtId="3" fontId="15" fillId="6" borderId="2" xfId="0" applyNumberFormat="1" applyFont="1" applyFill="1" applyBorder="1" applyAlignment="1" applyProtection="1">
      <alignment horizontal="center" vertical="center"/>
    </xf>
    <xf numFmtId="3" fontId="4" fillId="5" borderId="2" xfId="0" applyNumberFormat="1" applyFont="1" applyFill="1" applyBorder="1" applyAlignment="1" applyProtection="1">
      <alignment vertical="center"/>
    </xf>
    <xf numFmtId="0" fontId="4" fillId="3" borderId="9" xfId="0" applyNumberFormat="1" applyFont="1" applyFill="1" applyBorder="1" applyAlignment="1" applyProtection="1">
      <alignment horizontal="center" vertical="center"/>
    </xf>
    <xf numFmtId="3" fontId="3" fillId="5" borderId="2" xfId="0" applyNumberFormat="1" applyFont="1" applyFill="1" applyBorder="1" applyAlignment="1" applyProtection="1">
      <alignment vertical="center"/>
    </xf>
    <xf numFmtId="3" fontId="4" fillId="3" borderId="2" xfId="0" applyNumberFormat="1" applyFont="1" applyFill="1" applyBorder="1" applyAlignment="1" applyProtection="1">
      <alignment vertical="center"/>
    </xf>
    <xf numFmtId="0" fontId="4" fillId="3" borderId="0" xfId="0" applyNumberFormat="1" applyFont="1" applyFill="1" applyBorder="1" applyAlignment="1" applyProtection="1">
      <alignment horizontal="right" vertical="center"/>
    </xf>
    <xf numFmtId="3" fontId="4" fillId="2" borderId="2" xfId="0" applyNumberFormat="1" applyFont="1" applyFill="1" applyBorder="1" applyAlignment="1" applyProtection="1">
      <alignment horizontal="right" vertical="center"/>
      <protection locked="0"/>
    </xf>
    <xf numFmtId="1" fontId="4" fillId="3" borderId="9" xfId="0" applyNumberFormat="1" applyFont="1" applyFill="1" applyBorder="1" applyAlignment="1" applyProtection="1">
      <alignment horizontal="center" vertical="center"/>
    </xf>
    <xf numFmtId="3" fontId="4" fillId="3" borderId="2" xfId="0" applyNumberFormat="1" applyFont="1" applyFill="1" applyBorder="1" applyAlignment="1" applyProtection="1">
      <alignment horizontal="right" vertical="center"/>
    </xf>
    <xf numFmtId="3" fontId="3" fillId="5" borderId="9" xfId="0" applyNumberFormat="1" applyFont="1" applyFill="1" applyBorder="1" applyAlignment="1" applyProtection="1">
      <alignment horizontal="right" vertical="center"/>
    </xf>
    <xf numFmtId="3" fontId="3" fillId="5" borderId="2" xfId="0" applyNumberFormat="1" applyFont="1" applyFill="1" applyBorder="1" applyAlignment="1" applyProtection="1">
      <alignment horizontal="right" vertical="center"/>
    </xf>
    <xf numFmtId="3" fontId="4" fillId="5" borderId="2" xfId="0" applyNumberFormat="1" applyFont="1" applyFill="1" applyBorder="1" applyAlignment="1" applyProtection="1">
      <alignment horizontal="right" vertical="center"/>
    </xf>
    <xf numFmtId="171" fontId="4" fillId="3" borderId="0" xfId="0" applyNumberFormat="1" applyFont="1" applyFill="1" applyBorder="1" applyAlignment="1" applyProtection="1">
      <alignment vertical="center"/>
    </xf>
    <xf numFmtId="0" fontId="8" fillId="12" borderId="0" xfId="0" applyFont="1" applyFill="1" applyBorder="1" applyAlignment="1" applyProtection="1">
      <alignment vertical="center" shrinkToFit="1"/>
    </xf>
    <xf numFmtId="3" fontId="4" fillId="12" borderId="0" xfId="1" applyNumberFormat="1" applyFont="1" applyFill="1" applyBorder="1" applyAlignment="1" applyProtection="1">
      <alignment vertical="center"/>
      <protection locked="0"/>
    </xf>
    <xf numFmtId="0" fontId="4" fillId="2" borderId="2" xfId="22" applyNumberFormat="1" applyFont="1" applyFill="1" applyBorder="1" applyAlignment="1" applyProtection="1">
      <alignment horizontal="left" vertical="center"/>
      <protection locked="0"/>
    </xf>
    <xf numFmtId="0" fontId="35" fillId="12" borderId="20" xfId="0" applyFont="1" applyFill="1" applyBorder="1"/>
    <xf numFmtId="175" fontId="35" fillId="12" borderId="0" xfId="0" applyNumberFormat="1" applyFont="1" applyFill="1"/>
    <xf numFmtId="0" fontId="35" fillId="12" borderId="21" xfId="0" applyFont="1" applyFill="1" applyBorder="1"/>
    <xf numFmtId="0" fontId="35" fillId="12" borderId="22" xfId="0" applyFont="1" applyFill="1" applyBorder="1"/>
    <xf numFmtId="175" fontId="35" fillId="13" borderId="23" xfId="0" applyNumberFormat="1" applyFont="1" applyFill="1" applyBorder="1" applyAlignment="1" applyProtection="1">
      <alignment horizontal="center"/>
      <protection locked="0"/>
    </xf>
    <xf numFmtId="172" fontId="35" fillId="12" borderId="0" xfId="0" applyNumberFormat="1" applyFont="1" applyFill="1" applyBorder="1" applyAlignment="1">
      <alignment horizontal="center"/>
    </xf>
    <xf numFmtId="0" fontId="49" fillId="0" borderId="0" xfId="0" applyFont="1" applyBorder="1"/>
    <xf numFmtId="0" fontId="35" fillId="0" borderId="0" xfId="0" applyFont="1" applyBorder="1"/>
    <xf numFmtId="0" fontId="50" fillId="0" borderId="0" xfId="0" applyFont="1" applyBorder="1" applyAlignment="1">
      <alignment horizontal="centerContinuous"/>
    </xf>
    <xf numFmtId="0" fontId="35" fillId="0" borderId="0" xfId="0" applyFont="1" applyBorder="1" applyAlignment="1">
      <alignment horizontal="centerContinuous"/>
    </xf>
    <xf numFmtId="0" fontId="35" fillId="16" borderId="0" xfId="0" applyFont="1" applyFill="1" applyBorder="1"/>
    <xf numFmtId="0" fontId="35" fillId="12" borderId="24" xfId="0" applyFont="1" applyFill="1" applyBorder="1"/>
    <xf numFmtId="0" fontId="35" fillId="12" borderId="13" xfId="0" applyFont="1" applyFill="1" applyBorder="1"/>
    <xf numFmtId="0" fontId="35" fillId="12" borderId="25" xfId="0" applyFont="1" applyFill="1" applyBorder="1"/>
    <xf numFmtId="5" fontId="35" fillId="12" borderId="14" xfId="0" applyNumberFormat="1" applyFont="1" applyFill="1" applyBorder="1" applyAlignment="1">
      <alignment horizontal="center"/>
    </xf>
    <xf numFmtId="0" fontId="35" fillId="12" borderId="14" xfId="0" applyFont="1" applyFill="1" applyBorder="1" applyAlignment="1">
      <alignment horizontal="center"/>
    </xf>
    <xf numFmtId="172" fontId="35" fillId="12" borderId="14" xfId="0" applyNumberFormat="1" applyFont="1" applyFill="1" applyBorder="1" applyAlignment="1">
      <alignment horizontal="center"/>
    </xf>
    <xf numFmtId="176" fontId="35" fillId="12" borderId="14" xfId="0" applyNumberFormat="1" applyFont="1" applyFill="1" applyBorder="1" applyAlignment="1">
      <alignment horizontal="center"/>
    </xf>
    <xf numFmtId="0" fontId="35" fillId="12" borderId="0" xfId="0" applyFont="1" applyFill="1" applyAlignment="1">
      <alignment horizontal="center" wrapText="1"/>
    </xf>
    <xf numFmtId="0" fontId="50" fillId="12" borderId="21" xfId="0" applyFont="1" applyFill="1" applyBorder="1" applyAlignment="1"/>
    <xf numFmtId="0" fontId="35" fillId="12" borderId="26" xfId="0" applyFont="1" applyFill="1" applyBorder="1" applyAlignment="1"/>
    <xf numFmtId="0" fontId="35" fillId="12" borderId="27" xfId="0" applyFont="1" applyFill="1" applyBorder="1" applyAlignment="1"/>
    <xf numFmtId="0" fontId="35" fillId="12" borderId="22" xfId="0" applyFont="1" applyFill="1" applyBorder="1" applyAlignment="1"/>
    <xf numFmtId="0" fontId="35" fillId="12" borderId="28" xfId="0" applyFont="1" applyFill="1" applyBorder="1" applyAlignment="1"/>
    <xf numFmtId="0" fontId="35" fillId="12" borderId="24" xfId="0" applyFont="1" applyFill="1" applyBorder="1" applyAlignment="1"/>
    <xf numFmtId="0" fontId="35" fillId="12" borderId="13" xfId="0" applyFont="1" applyFill="1" applyBorder="1" applyAlignment="1"/>
    <xf numFmtId="0" fontId="35" fillId="12" borderId="25" xfId="0" applyFont="1" applyFill="1" applyBorder="1" applyAlignment="1"/>
    <xf numFmtId="170" fontId="35" fillId="12" borderId="0" xfId="0" applyNumberFormat="1" applyFont="1" applyFill="1" applyBorder="1" applyAlignment="1">
      <alignment horizontal="center"/>
    </xf>
    <xf numFmtId="0" fontId="35" fillId="12" borderId="20" xfId="0" applyFont="1" applyFill="1" applyBorder="1" applyAlignment="1"/>
    <xf numFmtId="5" fontId="35" fillId="12" borderId="0" xfId="0" applyNumberFormat="1" applyFont="1" applyFill="1" applyBorder="1" applyAlignment="1">
      <alignment horizontal="center"/>
    </xf>
    <xf numFmtId="0" fontId="35" fillId="16" borderId="0" xfId="0" applyFont="1" applyFill="1" applyAlignment="1"/>
    <xf numFmtId="172" fontId="35" fillId="13" borderId="8" xfId="0" applyNumberFormat="1" applyFont="1" applyFill="1" applyBorder="1" applyAlignment="1" applyProtection="1">
      <alignment horizontal="center"/>
      <protection locked="0"/>
    </xf>
    <xf numFmtId="176" fontId="35" fillId="12" borderId="0" xfId="0" applyNumberFormat="1" applyFont="1" applyFill="1" applyBorder="1"/>
    <xf numFmtId="0" fontId="35" fillId="17" borderId="0" xfId="0" applyFont="1" applyFill="1"/>
    <xf numFmtId="0" fontId="4" fillId="3" borderId="0" xfId="0" applyFont="1" applyFill="1" applyBorder="1" applyAlignment="1" applyProtection="1">
      <alignment horizontal="center" vertical="center"/>
    </xf>
    <xf numFmtId="164" fontId="4" fillId="3" borderId="1" xfId="0" applyNumberFormat="1" applyFont="1" applyFill="1" applyBorder="1" applyAlignment="1" applyProtection="1">
      <alignment horizontal="center" vertical="center"/>
    </xf>
    <xf numFmtId="166" fontId="4" fillId="3" borderId="0" xfId="0" applyNumberFormat="1" applyFont="1" applyFill="1" applyAlignment="1" applyProtection="1">
      <alignment horizontal="center" vertical="center"/>
    </xf>
    <xf numFmtId="3" fontId="4" fillId="3" borderId="7" xfId="0" applyNumberFormat="1" applyFont="1" applyFill="1" applyBorder="1" applyAlignment="1" applyProtection="1">
      <alignment horizontal="center" vertical="center"/>
    </xf>
    <xf numFmtId="3" fontId="4" fillId="3" borderId="0" xfId="0" applyNumberFormat="1" applyFont="1" applyFill="1" applyBorder="1" applyAlignment="1" applyProtection="1">
      <alignment horizontal="center" vertical="center"/>
    </xf>
    <xf numFmtId="0" fontId="51" fillId="0" borderId="0" xfId="0" applyFont="1" applyAlignment="1">
      <alignment vertical="center"/>
    </xf>
    <xf numFmtId="0" fontId="4" fillId="15" borderId="12" xfId="0" applyFont="1" applyFill="1" applyBorder="1" applyAlignment="1" applyProtection="1">
      <alignment vertical="center"/>
    </xf>
    <xf numFmtId="0" fontId="4" fillId="12" borderId="15" xfId="0" applyFont="1" applyFill="1" applyBorder="1" applyAlignment="1" applyProtection="1">
      <alignment vertical="center"/>
    </xf>
    <xf numFmtId="0" fontId="4" fillId="12" borderId="0" xfId="0" applyFont="1" applyFill="1" applyBorder="1" applyAlignment="1" applyProtection="1">
      <alignment vertical="center"/>
    </xf>
    <xf numFmtId="0" fontId="4" fillId="12" borderId="29" xfId="0" applyFont="1" applyFill="1" applyBorder="1" applyAlignment="1" applyProtection="1">
      <alignment vertical="center"/>
    </xf>
    <xf numFmtId="0" fontId="4" fillId="3" borderId="0" xfId="47" applyFont="1" applyFill="1" applyAlignment="1" applyProtection="1">
      <alignment horizontal="right" vertical="center"/>
    </xf>
    <xf numFmtId="0" fontId="35" fillId="12" borderId="30" xfId="0" applyFont="1" applyFill="1" applyBorder="1"/>
    <xf numFmtId="0" fontId="35" fillId="12" borderId="14" xfId="0" applyFont="1" applyFill="1" applyBorder="1"/>
    <xf numFmtId="3" fontId="4" fillId="3" borderId="2" xfId="1" applyNumberFormat="1" applyFont="1" applyFill="1" applyBorder="1" applyAlignment="1" applyProtection="1">
      <alignment horizontal="right" vertical="center"/>
    </xf>
    <xf numFmtId="0" fontId="3" fillId="3" borderId="0" xfId="22" applyFont="1" applyFill="1" applyAlignment="1" applyProtection="1">
      <alignment vertical="center"/>
    </xf>
    <xf numFmtId="0" fontId="35" fillId="12" borderId="28" xfId="0" applyFont="1" applyFill="1" applyBorder="1"/>
    <xf numFmtId="175" fontId="35" fillId="12" borderId="8" xfId="0" applyNumberFormat="1" applyFont="1" applyFill="1" applyBorder="1" applyAlignment="1">
      <alignment horizontal="center"/>
    </xf>
    <xf numFmtId="0" fontId="35" fillId="12" borderId="0" xfId="0" applyFont="1" applyFill="1" applyBorder="1"/>
    <xf numFmtId="175" fontId="35" fillId="12" borderId="23" xfId="0" applyNumberFormat="1" applyFont="1" applyFill="1" applyBorder="1"/>
    <xf numFmtId="0" fontId="35" fillId="12" borderId="27" xfId="0" applyFont="1" applyFill="1" applyBorder="1"/>
    <xf numFmtId="0" fontId="35" fillId="12" borderId="26" xfId="0" applyFont="1" applyFill="1" applyBorder="1"/>
    <xf numFmtId="0" fontId="50" fillId="12" borderId="21" xfId="0" applyFont="1" applyFill="1" applyBorder="1"/>
    <xf numFmtId="0" fontId="35" fillId="12" borderId="0" xfId="0" applyFont="1" applyFill="1" applyAlignment="1">
      <alignment horizontal="center"/>
    </xf>
    <xf numFmtId="0" fontId="50" fillId="12" borderId="0" xfId="0" applyFont="1" applyFill="1"/>
    <xf numFmtId="0" fontId="50" fillId="16" borderId="0" xfId="0" applyFont="1" applyFill="1" applyAlignment="1">
      <alignment horizontal="center" wrapText="1"/>
    </xf>
    <xf numFmtId="0" fontId="35" fillId="12" borderId="0" xfId="0" applyFont="1" applyFill="1"/>
    <xf numFmtId="0" fontId="35" fillId="0" borderId="0" xfId="0" applyFont="1"/>
    <xf numFmtId="0" fontId="35" fillId="16" borderId="0" xfId="0" applyFont="1" applyFill="1"/>
    <xf numFmtId="0" fontId="37" fillId="0" borderId="0" xfId="0" applyFont="1" applyAlignment="1">
      <alignment horizontal="center"/>
    </xf>
    <xf numFmtId="3" fontId="4" fillId="3" borderId="3" xfId="0" applyNumberFormat="1" applyFont="1" applyFill="1" applyBorder="1" applyAlignment="1" applyProtection="1">
      <alignment horizontal="center" vertical="center"/>
    </xf>
    <xf numFmtId="0" fontId="11" fillId="15" borderId="8" xfId="0" applyFont="1" applyFill="1" applyBorder="1" applyAlignment="1" applyProtection="1">
      <alignment vertical="center"/>
    </xf>
    <xf numFmtId="175" fontId="11" fillId="15" borderId="9" xfId="0" applyNumberFormat="1" applyFont="1" applyFill="1" applyBorder="1" applyAlignment="1" applyProtection="1">
      <alignment horizontal="center" vertical="center"/>
    </xf>
    <xf numFmtId="175" fontId="11" fillId="12" borderId="29" xfId="0" applyNumberFormat="1" applyFont="1" applyFill="1" applyBorder="1" applyAlignment="1" applyProtection="1">
      <alignment vertical="center"/>
    </xf>
    <xf numFmtId="175" fontId="11" fillId="12" borderId="9" xfId="0" applyNumberFormat="1" applyFont="1" applyFill="1" applyBorder="1" applyAlignment="1" applyProtection="1">
      <alignment horizontal="center" vertical="center"/>
    </xf>
    <xf numFmtId="0" fontId="11" fillId="12" borderId="0" xfId="0" applyFont="1" applyFill="1" applyBorder="1" applyAlignment="1" applyProtection="1">
      <alignment vertical="center"/>
    </xf>
    <xf numFmtId="175" fontId="11" fillId="12" borderId="29" xfId="0" applyNumberFormat="1" applyFont="1" applyFill="1" applyBorder="1" applyAlignment="1" applyProtection="1">
      <alignment horizontal="center" vertical="center"/>
    </xf>
    <xf numFmtId="0" fontId="38" fillId="0" borderId="0" xfId="12" applyFont="1" applyAlignment="1" applyProtection="1"/>
    <xf numFmtId="0" fontId="4" fillId="0" borderId="0" xfId="22" applyFont="1" applyFill="1" applyBorder="1" applyAlignment="1" applyProtection="1">
      <alignment vertical="center"/>
    </xf>
    <xf numFmtId="0" fontId="34" fillId="12" borderId="29" xfId="44" applyFont="1" applyFill="1" applyBorder="1" applyProtection="1"/>
    <xf numFmtId="0" fontId="4" fillId="12" borderId="0" xfId="44" applyFont="1" applyFill="1" applyBorder="1" applyProtection="1"/>
    <xf numFmtId="175" fontId="4" fillId="12" borderId="15" xfId="44" applyNumberFormat="1" applyFont="1" applyFill="1" applyBorder="1" applyAlignment="1" applyProtection="1">
      <alignment horizontal="center"/>
    </xf>
    <xf numFmtId="0" fontId="4" fillId="12" borderId="9" xfId="44" applyFont="1" applyFill="1" applyBorder="1" applyProtection="1"/>
    <xf numFmtId="0" fontId="4" fillId="12" borderId="8" xfId="44" applyFont="1" applyFill="1" applyBorder="1" applyProtection="1"/>
    <xf numFmtId="175" fontId="4" fillId="15" borderId="12" xfId="44" applyNumberFormat="1" applyFont="1" applyFill="1" applyBorder="1" applyAlignment="1" applyProtection="1">
      <alignment horizontal="center"/>
    </xf>
    <xf numFmtId="0" fontId="4" fillId="0" borderId="0" xfId="44" applyFont="1" applyFill="1" applyBorder="1" applyProtection="1"/>
    <xf numFmtId="0" fontId="4" fillId="12" borderId="29" xfId="44" applyFont="1" applyFill="1" applyBorder="1" applyProtection="1"/>
    <xf numFmtId="0" fontId="4" fillId="12" borderId="15" xfId="44" applyFont="1" applyFill="1" applyBorder="1" applyProtection="1"/>
    <xf numFmtId="170" fontId="4" fillId="12" borderId="15" xfId="44" applyNumberFormat="1" applyFont="1" applyFill="1" applyBorder="1" applyAlignment="1" applyProtection="1">
      <alignment horizontal="center"/>
    </xf>
    <xf numFmtId="0" fontId="4" fillId="15" borderId="29" xfId="44" applyFont="1" applyFill="1" applyBorder="1" applyProtection="1"/>
    <xf numFmtId="0" fontId="4" fillId="15" borderId="0" xfId="44" applyFont="1" applyFill="1" applyBorder="1" applyProtection="1"/>
    <xf numFmtId="0" fontId="4" fillId="15" borderId="9" xfId="44" applyFont="1" applyFill="1" applyBorder="1" applyProtection="1"/>
    <xf numFmtId="0" fontId="4" fillId="15" borderId="8" xfId="44" applyFont="1" applyFill="1" applyBorder="1" applyProtection="1"/>
    <xf numFmtId="0" fontId="4" fillId="0" borderId="0" xfId="44" applyFont="1" applyProtection="1"/>
    <xf numFmtId="175" fontId="4" fillId="12" borderId="12" xfId="44" applyNumberFormat="1" applyFont="1" applyFill="1" applyBorder="1" applyAlignment="1" applyProtection="1">
      <alignment horizontal="center"/>
    </xf>
    <xf numFmtId="172" fontId="4" fillId="13" borderId="15" xfId="44" applyNumberFormat="1" applyFont="1" applyFill="1" applyBorder="1" applyAlignment="1" applyProtection="1">
      <alignment horizontal="center"/>
      <protection locked="0"/>
    </xf>
    <xf numFmtId="3" fontId="4" fillId="2" borderId="1" xfId="0" applyNumberFormat="1" applyFont="1" applyFill="1" applyBorder="1" applyProtection="1">
      <protection locked="0"/>
    </xf>
    <xf numFmtId="3" fontId="4" fillId="4" borderId="1" xfId="0" applyNumberFormat="1" applyFont="1" applyFill="1" applyBorder="1" applyProtection="1">
      <protection locked="0"/>
    </xf>
    <xf numFmtId="3" fontId="4" fillId="14" borderId="17" xfId="0" applyNumberFormat="1" applyFont="1" applyFill="1" applyBorder="1" applyAlignment="1" applyProtection="1">
      <alignment horizontal="center" vertical="center"/>
    </xf>
    <xf numFmtId="0" fontId="52" fillId="3" borderId="0" xfId="0" applyFont="1" applyFill="1" applyAlignment="1" applyProtection="1">
      <alignment horizontal="center" vertical="center"/>
    </xf>
    <xf numFmtId="0" fontId="3" fillId="0" borderId="0" xfId="22" applyFont="1" applyAlignment="1">
      <alignment wrapText="1"/>
    </xf>
    <xf numFmtId="0" fontId="4" fillId="0" borderId="0" xfId="22" applyFont="1"/>
    <xf numFmtId="0" fontId="22" fillId="0" borderId="0" xfId="22" applyFont="1"/>
    <xf numFmtId="0" fontId="21" fillId="0" borderId="0" xfId="22" applyFont="1" applyAlignment="1">
      <alignment horizontal="center"/>
    </xf>
    <xf numFmtId="0" fontId="53" fillId="0" borderId="0" xfId="22" applyFont="1" applyAlignment="1">
      <alignment wrapText="1"/>
    </xf>
    <xf numFmtId="0" fontId="13" fillId="3" borderId="1" xfId="0" applyFont="1" applyFill="1" applyBorder="1" applyAlignment="1">
      <alignment horizontal="center" vertical="center"/>
    </xf>
    <xf numFmtId="3" fontId="15" fillId="6" borderId="3" xfId="0" applyNumberFormat="1" applyFont="1" applyFill="1" applyBorder="1" applyAlignment="1" applyProtection="1">
      <alignment horizontal="center" vertical="center"/>
    </xf>
    <xf numFmtId="3" fontId="15" fillId="6" borderId="3" xfId="0" applyNumberFormat="1" applyFont="1" applyFill="1" applyBorder="1" applyAlignment="1" applyProtection="1">
      <alignment horizontal="center"/>
    </xf>
    <xf numFmtId="0" fontId="4" fillId="0" borderId="0" xfId="47" applyFont="1" applyAlignment="1">
      <alignment vertical="center" wrapText="1"/>
    </xf>
    <xf numFmtId="0" fontId="4" fillId="0" borderId="0" xfId="22" applyFont="1" applyAlignment="1">
      <alignment vertical="center" wrapText="1"/>
    </xf>
    <xf numFmtId="0" fontId="4" fillId="0" borderId="0" xfId="351" applyFont="1" applyAlignment="1">
      <alignment vertical="center" wrapText="1"/>
    </xf>
    <xf numFmtId="0" fontId="4" fillId="0" borderId="0" xfId="371" applyNumberFormat="1" applyFont="1" applyAlignment="1">
      <alignment vertical="center" wrapText="1"/>
    </xf>
    <xf numFmtId="0" fontId="4" fillId="0" borderId="0" xfId="250" applyFont="1" applyAlignment="1">
      <alignment vertical="center" wrapText="1"/>
    </xf>
    <xf numFmtId="0" fontId="5" fillId="0" borderId="0" xfId="82" applyFont="1" applyAlignment="1">
      <alignment vertical="center"/>
    </xf>
    <xf numFmtId="0" fontId="4" fillId="0" borderId="0" xfId="47" applyFont="1" applyAlignment="1">
      <alignment vertical="center"/>
    </xf>
    <xf numFmtId="0" fontId="4" fillId="0" borderId="0" xfId="48" applyFont="1" applyAlignment="1">
      <alignment vertical="center"/>
    </xf>
    <xf numFmtId="37" fontId="4" fillId="12" borderId="0" xfId="0" applyNumberFormat="1" applyFont="1" applyFill="1" applyAlignment="1" applyProtection="1">
      <alignment horizontal="center" vertical="center"/>
    </xf>
    <xf numFmtId="0" fontId="0" fillId="12" borderId="0" xfId="0" applyFill="1" applyBorder="1" applyAlignment="1" applyProtection="1">
      <alignment horizontal="left" vertical="center"/>
      <protection locked="0"/>
    </xf>
    <xf numFmtId="37" fontId="3" fillId="3" borderId="8" xfId="0" applyNumberFormat="1" applyFont="1" applyFill="1" applyBorder="1" applyAlignment="1" applyProtection="1">
      <alignment vertical="center"/>
    </xf>
    <xf numFmtId="37" fontId="3" fillId="3" borderId="0" xfId="0" applyNumberFormat="1" applyFont="1" applyFill="1" applyBorder="1" applyAlignment="1" applyProtection="1">
      <alignment vertical="center"/>
    </xf>
    <xf numFmtId="0" fontId="0" fillId="11" borderId="7" xfId="0" applyFill="1" applyBorder="1" applyAlignment="1" applyProtection="1">
      <alignment vertical="center"/>
    </xf>
    <xf numFmtId="0" fontId="15" fillId="11" borderId="12" xfId="0" applyFont="1" applyFill="1" applyBorder="1" applyAlignment="1" applyProtection="1">
      <alignment horizontal="center" vertical="center"/>
    </xf>
    <xf numFmtId="37" fontId="4" fillId="3" borderId="8" xfId="0" applyNumberFormat="1" applyFont="1" applyFill="1" applyBorder="1" applyAlignment="1" applyProtection="1">
      <alignment horizontal="center" vertical="center"/>
      <protection locked="0"/>
    </xf>
    <xf numFmtId="37" fontId="4" fillId="3" borderId="0" xfId="0" applyNumberFormat="1" applyFont="1" applyFill="1" applyAlignment="1" applyProtection="1">
      <alignment horizontal="left" vertical="center"/>
      <protection locked="0"/>
    </xf>
    <xf numFmtId="37" fontId="3" fillId="3" borderId="3" xfId="0" applyNumberFormat="1" applyFont="1" applyFill="1" applyBorder="1" applyAlignment="1" applyProtection="1">
      <alignment horizontal="left" vertical="center"/>
    </xf>
    <xf numFmtId="49" fontId="4" fillId="12" borderId="0" xfId="0" applyNumberFormat="1" applyFont="1" applyFill="1" applyBorder="1" applyAlignment="1" applyProtection="1">
      <alignment horizontal="left" vertical="center"/>
      <protection locked="0"/>
    </xf>
    <xf numFmtId="37" fontId="4" fillId="3" borderId="0" xfId="0" applyNumberFormat="1" applyFont="1" applyFill="1" applyBorder="1" applyAlignment="1" applyProtection="1">
      <alignment horizontal="right" vertical="center"/>
    </xf>
    <xf numFmtId="3" fontId="4" fillId="14" borderId="31" xfId="0" applyNumberFormat="1" applyFont="1" applyFill="1" applyBorder="1" applyAlignment="1" applyProtection="1">
      <alignment horizontal="center" vertical="center"/>
    </xf>
    <xf numFmtId="164" fontId="4" fillId="14" borderId="31" xfId="0" applyNumberFormat="1" applyFont="1" applyFill="1" applyBorder="1" applyAlignment="1" applyProtection="1">
      <alignment horizontal="center" vertical="center"/>
    </xf>
    <xf numFmtId="3" fontId="4" fillId="4" borderId="7" xfId="1" applyNumberFormat="1" applyFont="1" applyFill="1" applyBorder="1" applyAlignment="1" applyProtection="1">
      <alignment horizontal="center" vertical="center"/>
      <protection locked="0"/>
    </xf>
    <xf numFmtId="3" fontId="4" fillId="4" borderId="1" xfId="1" applyNumberFormat="1" applyFont="1" applyFill="1" applyBorder="1" applyAlignment="1" applyProtection="1">
      <alignment horizontal="center" vertical="center"/>
      <protection locked="0"/>
    </xf>
    <xf numFmtId="1" fontId="7" fillId="3" borderId="5" xfId="0" applyNumberFormat="1" applyFont="1" applyFill="1" applyBorder="1" applyAlignment="1" applyProtection="1">
      <alignment horizontal="center" vertical="center"/>
    </xf>
    <xf numFmtId="37" fontId="7" fillId="3" borderId="5" xfId="0" applyNumberFormat="1" applyFont="1" applyFill="1" applyBorder="1" applyAlignment="1" applyProtection="1">
      <alignment horizontal="center" vertical="center"/>
    </xf>
    <xf numFmtId="37" fontId="7" fillId="3" borderId="3" xfId="0" applyNumberFormat="1" applyFont="1" applyFill="1" applyBorder="1" applyAlignment="1" applyProtection="1">
      <alignment horizontal="center" vertical="center"/>
    </xf>
    <xf numFmtId="37" fontId="3" fillId="3" borderId="0" xfId="0" applyNumberFormat="1" applyFont="1" applyFill="1" applyBorder="1" applyProtection="1"/>
    <xf numFmtId="37" fontId="7" fillId="12" borderId="32" xfId="0" applyNumberFormat="1" applyFont="1" applyFill="1" applyBorder="1" applyAlignment="1" applyProtection="1">
      <alignment horizontal="center" vertical="center"/>
    </xf>
    <xf numFmtId="0" fontId="50" fillId="12" borderId="22" xfId="0" applyFont="1" applyFill="1" applyBorder="1" applyAlignment="1">
      <alignment horizontal="centerContinuous" vertical="center"/>
    </xf>
    <xf numFmtId="175" fontId="50" fillId="12" borderId="0" xfId="0" applyNumberFormat="1" applyFont="1" applyFill="1" applyBorder="1" applyAlignment="1">
      <alignment horizontal="centerContinuous" vertical="center"/>
    </xf>
    <xf numFmtId="0" fontId="50" fillId="12" borderId="0" xfId="0" applyFont="1" applyFill="1" applyBorder="1" applyAlignment="1">
      <alignment horizontal="centerContinuous" vertical="center"/>
    </xf>
    <xf numFmtId="172" fontId="50" fillId="12" borderId="0" xfId="0" applyNumberFormat="1" applyFont="1" applyFill="1" applyBorder="1" applyAlignment="1" applyProtection="1">
      <alignment horizontal="centerContinuous" vertical="center"/>
      <protection locked="0"/>
    </xf>
    <xf numFmtId="176" fontId="50" fillId="12" borderId="0" xfId="0" applyNumberFormat="1" applyFont="1" applyFill="1" applyBorder="1" applyAlignment="1">
      <alignment horizontal="centerContinuous" vertical="center"/>
    </xf>
    <xf numFmtId="0" fontId="50" fillId="12" borderId="28" xfId="0" applyFont="1" applyFill="1" applyBorder="1" applyAlignment="1">
      <alignment horizontal="centerContinuous" vertical="center"/>
    </xf>
    <xf numFmtId="0" fontId="50" fillId="12" borderId="22" xfId="0" applyFont="1" applyFill="1" applyBorder="1" applyAlignment="1">
      <alignment horizontal="centerContinuous"/>
    </xf>
    <xf numFmtId="175" fontId="50" fillId="12" borderId="0" xfId="0" applyNumberFormat="1" applyFont="1" applyFill="1" applyBorder="1" applyAlignment="1">
      <alignment horizontal="centerContinuous"/>
    </xf>
    <xf numFmtId="0" fontId="50" fillId="12" borderId="0" xfId="0" applyFont="1" applyFill="1" applyBorder="1" applyAlignment="1">
      <alignment horizontal="centerContinuous"/>
    </xf>
    <xf numFmtId="172" fontId="50" fillId="12" borderId="0" xfId="0" applyNumberFormat="1" applyFont="1" applyFill="1" applyBorder="1" applyAlignment="1" applyProtection="1">
      <alignment horizontal="centerContinuous"/>
      <protection locked="0"/>
    </xf>
    <xf numFmtId="176" fontId="50" fillId="12" borderId="0" xfId="0" applyNumberFormat="1" applyFont="1" applyFill="1" applyBorder="1" applyAlignment="1">
      <alignment horizontal="centerContinuous"/>
    </xf>
    <xf numFmtId="0" fontId="50" fillId="12" borderId="28" xfId="0" applyFont="1" applyFill="1" applyBorder="1" applyAlignment="1">
      <alignment horizontal="centerContinuous"/>
    </xf>
    <xf numFmtId="175" fontId="35" fillId="0" borderId="0" xfId="0" applyNumberFormat="1" applyFont="1"/>
    <xf numFmtId="175" fontId="35" fillId="12" borderId="14" xfId="0" applyNumberFormat="1" applyFont="1" applyFill="1" applyBorder="1" applyAlignment="1">
      <alignment horizontal="center"/>
    </xf>
    <xf numFmtId="172" fontId="35" fillId="12" borderId="14" xfId="0" applyNumberFormat="1" applyFont="1" applyFill="1" applyBorder="1" applyAlignment="1" applyProtection="1">
      <alignment horizontal="center"/>
      <protection locked="0"/>
    </xf>
    <xf numFmtId="176" fontId="35" fillId="12" borderId="14" xfId="0" applyNumberFormat="1" applyFont="1" applyFill="1" applyBorder="1"/>
    <xf numFmtId="172" fontId="35" fillId="12" borderId="0" xfId="0" applyNumberFormat="1" applyFont="1" applyFill="1" applyBorder="1" applyAlignment="1" applyProtection="1">
      <alignment horizontal="center"/>
      <protection locked="0"/>
    </xf>
    <xf numFmtId="175" fontId="35" fillId="12" borderId="26" xfId="0" applyNumberFormat="1" applyFont="1" applyFill="1" applyBorder="1" applyAlignment="1">
      <alignment horizontal="center"/>
    </xf>
    <xf numFmtId="0" fontId="35" fillId="12" borderId="26" xfId="0" applyFont="1" applyFill="1" applyBorder="1" applyAlignment="1">
      <alignment horizontal="center"/>
    </xf>
    <xf numFmtId="172" fontId="35" fillId="12" borderId="26" xfId="0" applyNumberFormat="1" applyFont="1" applyFill="1" applyBorder="1" applyAlignment="1" applyProtection="1">
      <alignment horizontal="center"/>
      <protection locked="0"/>
    </xf>
    <xf numFmtId="176" fontId="35" fillId="12" borderId="26" xfId="0" applyNumberFormat="1" applyFont="1" applyFill="1" applyBorder="1"/>
    <xf numFmtId="175" fontId="35" fillId="12" borderId="0" xfId="0" applyNumberFormat="1" applyFont="1" applyFill="1" applyBorder="1" applyAlignment="1" applyProtection="1">
      <alignment horizontal="center"/>
      <protection locked="0"/>
    </xf>
    <xf numFmtId="175" fontId="4" fillId="15" borderId="15" xfId="44" applyNumberFormat="1" applyFont="1" applyFill="1" applyBorder="1" applyAlignment="1" applyProtection="1">
      <alignment horizontal="center"/>
    </xf>
    <xf numFmtId="0" fontId="4" fillId="15" borderId="9" xfId="0" applyFont="1" applyFill="1" applyBorder="1" applyAlignment="1">
      <alignment vertical="center"/>
    </xf>
    <xf numFmtId="0" fontId="4" fillId="15" borderId="8" xfId="0" applyFont="1" applyFill="1" applyBorder="1" applyAlignment="1">
      <alignment vertical="center"/>
    </xf>
    <xf numFmtId="175" fontId="4" fillId="15" borderId="12" xfId="0" applyNumberFormat="1" applyFont="1" applyFill="1" applyBorder="1" applyAlignment="1">
      <alignment horizontal="center" vertical="center"/>
    </xf>
    <xf numFmtId="175" fontId="35" fillId="12" borderId="0" xfId="0" applyNumberFormat="1" applyFont="1" applyFill="1" applyBorder="1" applyAlignment="1">
      <alignment horizontal="center"/>
    </xf>
    <xf numFmtId="0" fontId="35" fillId="12" borderId="13" xfId="0" applyFont="1" applyFill="1" applyBorder="1" applyAlignment="1">
      <alignment horizontal="center"/>
    </xf>
    <xf numFmtId="176" fontId="35" fillId="12" borderId="0" xfId="0" applyNumberFormat="1" applyFont="1" applyFill="1" applyBorder="1" applyAlignment="1">
      <alignment horizontal="center"/>
    </xf>
    <xf numFmtId="175" fontId="35" fillId="13" borderId="8" xfId="0" applyNumberFormat="1" applyFont="1" applyFill="1" applyBorder="1" applyAlignment="1" applyProtection="1">
      <alignment horizontal="center"/>
      <protection locked="0"/>
    </xf>
    <xf numFmtId="0" fontId="50" fillId="12" borderId="0" xfId="0" applyFont="1" applyFill="1" applyAlignment="1">
      <alignment horizontal="center" wrapText="1"/>
    </xf>
    <xf numFmtId="0" fontId="50" fillId="12" borderId="0" xfId="0" applyFont="1" applyFill="1" applyAlignment="1">
      <alignment horizontal="center"/>
    </xf>
    <xf numFmtId="175" fontId="35" fillId="12" borderId="0" xfId="0" applyNumberFormat="1" applyFont="1" applyFill="1" applyAlignment="1">
      <alignment horizontal="center"/>
    </xf>
    <xf numFmtId="0" fontId="35" fillId="12" borderId="0" xfId="0" applyFont="1" applyFill="1" applyBorder="1" applyAlignment="1"/>
    <xf numFmtId="0" fontId="35" fillId="12" borderId="0" xfId="0" applyFont="1" applyFill="1" applyBorder="1" applyAlignment="1">
      <alignment horizontal="center"/>
    </xf>
    <xf numFmtId="0" fontId="35" fillId="12" borderId="30" xfId="0" applyFont="1" applyFill="1" applyBorder="1" applyAlignment="1"/>
    <xf numFmtId="1" fontId="4" fillId="3" borderId="5"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horizontal="center" vertical="center"/>
    </xf>
    <xf numFmtId="0" fontId="4" fillId="0" borderId="0" xfId="0" applyFont="1" applyBorder="1" applyAlignment="1">
      <alignment vertical="center"/>
    </xf>
    <xf numFmtId="37" fontId="7" fillId="12" borderId="32" xfId="0" applyNumberFormat="1" applyFont="1" applyFill="1" applyBorder="1" applyAlignment="1" applyProtection="1">
      <alignment horizontal="left" vertical="center"/>
    </xf>
    <xf numFmtId="0" fontId="4" fillId="12" borderId="33" xfId="0" applyNumberFormat="1" applyFont="1" applyFill="1" applyBorder="1" applyAlignment="1" applyProtection="1">
      <alignment horizontal="left" vertical="center"/>
    </xf>
    <xf numFmtId="1" fontId="4" fillId="12" borderId="33" xfId="0" applyNumberFormat="1" applyFont="1" applyFill="1" applyBorder="1" applyAlignment="1" applyProtection="1">
      <alignment horizontal="center" vertical="center"/>
    </xf>
    <xf numFmtId="0" fontId="3" fillId="0" borderId="0" xfId="22" applyFont="1" applyFill="1" applyAlignment="1" applyProtection="1">
      <alignment vertical="center"/>
    </xf>
    <xf numFmtId="37" fontId="4" fillId="11" borderId="17" xfId="0" applyNumberFormat="1" applyFont="1" applyFill="1" applyBorder="1" applyAlignment="1" applyProtection="1">
      <alignment vertical="center"/>
    </xf>
    <xf numFmtId="0" fontId="4" fillId="12" borderId="0" xfId="31" applyFont="1" applyFill="1"/>
    <xf numFmtId="0" fontId="2" fillId="0" borderId="0" xfId="31"/>
    <xf numFmtId="0" fontId="4" fillId="12" borderId="0" xfId="31" applyFont="1" applyFill="1" applyAlignment="1">
      <alignment vertical="center"/>
    </xf>
    <xf numFmtId="37" fontId="4" fillId="12" borderId="0" xfId="31" applyNumberFormat="1" applyFont="1" applyFill="1" applyAlignment="1">
      <alignment vertical="center"/>
    </xf>
    <xf numFmtId="0" fontId="4" fillId="12" borderId="8" xfId="31" applyFont="1" applyFill="1" applyBorder="1" applyAlignment="1">
      <alignment vertical="center"/>
    </xf>
    <xf numFmtId="0" fontId="4" fillId="12" borderId="0" xfId="31" applyFont="1" applyFill="1" applyAlignment="1">
      <alignment horizontal="center" vertical="center"/>
    </xf>
    <xf numFmtId="0" fontId="5" fillId="12" borderId="0" xfId="31" applyFont="1" applyFill="1" applyAlignment="1">
      <alignment horizontal="center" vertical="center"/>
    </xf>
    <xf numFmtId="175" fontId="4" fillId="12" borderId="0" xfId="31" applyNumberFormat="1" applyFont="1" applyFill="1" applyAlignment="1">
      <alignment vertical="center"/>
    </xf>
    <xf numFmtId="175" fontId="4" fillId="12" borderId="13" xfId="31" applyNumberFormat="1" applyFont="1" applyFill="1" applyBorder="1" applyAlignment="1">
      <alignment vertical="center"/>
    </xf>
    <xf numFmtId="6" fontId="4" fillId="12" borderId="0" xfId="31" applyNumberFormat="1" applyFont="1" applyFill="1" applyBorder="1" applyAlignment="1">
      <alignment vertical="center"/>
    </xf>
    <xf numFmtId="175" fontId="4" fillId="12" borderId="0" xfId="31" applyNumberFormat="1" applyFont="1" applyFill="1" applyBorder="1" applyAlignment="1">
      <alignment vertical="center"/>
    </xf>
    <xf numFmtId="0" fontId="54" fillId="15" borderId="0" xfId="31" applyFont="1" applyFill="1" applyAlignment="1">
      <alignment vertical="center"/>
    </xf>
    <xf numFmtId="0" fontId="54" fillId="12" borderId="0" xfId="31" applyFont="1" applyFill="1" applyAlignment="1">
      <alignment horizontal="center" vertical="center"/>
    </xf>
    <xf numFmtId="172" fontId="4" fillId="12" borderId="0" xfId="31" applyNumberFormat="1" applyFont="1" applyFill="1" applyAlignment="1">
      <alignment horizontal="center" vertical="center"/>
    </xf>
    <xf numFmtId="178" fontId="54" fillId="12" borderId="0" xfId="31" applyNumberFormat="1" applyFont="1" applyFill="1" applyAlignment="1">
      <alignment horizontal="center" vertical="center"/>
    </xf>
    <xf numFmtId="0" fontId="54" fillId="15" borderId="0" xfId="31" applyFont="1" applyFill="1" applyAlignment="1">
      <alignment horizontal="center" vertical="center"/>
    </xf>
    <xf numFmtId="0" fontId="55" fillId="15" borderId="0" xfId="31" applyFont="1" applyFill="1" applyAlignment="1">
      <alignment horizontal="center" vertical="center"/>
    </xf>
    <xf numFmtId="0" fontId="4" fillId="12" borderId="0" xfId="31" applyFont="1" applyFill="1" applyAlignment="1">
      <alignment horizontal="right" vertical="center"/>
    </xf>
    <xf numFmtId="0" fontId="4" fillId="12" borderId="0" xfId="31" applyFont="1" applyFill="1" applyAlignment="1">
      <alignment horizontal="left" vertical="center"/>
    </xf>
    <xf numFmtId="0" fontId="4" fillId="12" borderId="0" xfId="24" applyFont="1" applyFill="1"/>
    <xf numFmtId="0" fontId="2" fillId="12" borderId="0" xfId="31" applyFill="1"/>
    <xf numFmtId="0" fontId="3" fillId="12" borderId="0" xfId="24" applyFont="1" applyFill="1"/>
    <xf numFmtId="0" fontId="2" fillId="12" borderId="0" xfId="24" applyFill="1"/>
    <xf numFmtId="0" fontId="10" fillId="0" borderId="0" xfId="12" applyAlignment="1" applyProtection="1"/>
    <xf numFmtId="0" fontId="3" fillId="3" borderId="0" xfId="0" applyFont="1" applyFill="1" applyAlignment="1" applyProtection="1">
      <alignment horizontal="right" vertical="center"/>
    </xf>
    <xf numFmtId="0" fontId="4" fillId="3" borderId="3" xfId="0" applyFont="1" applyFill="1" applyBorder="1" applyProtection="1"/>
    <xf numFmtId="170" fontId="4" fillId="3" borderId="10" xfId="0" applyNumberFormat="1" applyFont="1" applyFill="1" applyBorder="1" applyAlignment="1" applyProtection="1">
      <alignment vertical="center"/>
    </xf>
    <xf numFmtId="0" fontId="0" fillId="3" borderId="11" xfId="0" applyFill="1" applyBorder="1" applyAlignment="1" applyProtection="1">
      <alignment vertical="center"/>
    </xf>
    <xf numFmtId="37" fontId="4" fillId="12" borderId="0" xfId="0" applyNumberFormat="1" applyFont="1" applyFill="1" applyBorder="1" applyAlignment="1" applyProtection="1">
      <alignment horizontal="left" vertical="center"/>
    </xf>
    <xf numFmtId="179" fontId="4" fillId="2" borderId="1" xfId="0" applyNumberFormat="1" applyFont="1" applyFill="1" applyBorder="1" applyAlignment="1" applyProtection="1">
      <alignment horizontal="center" vertical="center"/>
      <protection locked="0"/>
    </xf>
    <xf numFmtId="49" fontId="4" fillId="0" borderId="0" xfId="395" applyNumberFormat="1" applyFont="1" applyFill="1" applyAlignment="1" applyProtection="1">
      <alignment horizontal="left" vertical="center"/>
      <protection locked="0"/>
    </xf>
    <xf numFmtId="0" fontId="2" fillId="0" borderId="0" xfId="21"/>
    <xf numFmtId="0" fontId="56" fillId="0" borderId="0" xfId="21" applyFont="1"/>
    <xf numFmtId="0" fontId="4" fillId="0" borderId="0" xfId="21" applyFont="1"/>
    <xf numFmtId="49" fontId="4" fillId="4" borderId="0" xfId="395" applyNumberFormat="1" applyFont="1" applyFill="1" applyAlignment="1" applyProtection="1">
      <alignment horizontal="left" vertical="center"/>
      <protection locked="0"/>
    </xf>
    <xf numFmtId="0" fontId="54" fillId="0" borderId="0" xfId="395" applyFont="1" applyAlignment="1">
      <alignment horizontal="left" vertical="center"/>
    </xf>
    <xf numFmtId="0" fontId="4" fillId="4" borderId="0" xfId="395" applyFont="1" applyFill="1" applyAlignment="1" applyProtection="1">
      <alignment horizontal="left" vertical="center"/>
      <protection locked="0"/>
    </xf>
    <xf numFmtId="0" fontId="28" fillId="4" borderId="0" xfId="395" applyFill="1" applyAlignment="1" applyProtection="1">
      <alignment horizontal="left" vertical="center"/>
      <protection locked="0"/>
    </xf>
    <xf numFmtId="0" fontId="57" fillId="0" borderId="0" xfId="395" applyFont="1"/>
    <xf numFmtId="173" fontId="58" fillId="0" borderId="0" xfId="395" applyNumberFormat="1" applyFont="1" applyAlignment="1">
      <alignment horizontal="left" vertical="center"/>
    </xf>
    <xf numFmtId="0" fontId="58" fillId="0" borderId="0" xfId="395" applyNumberFormat="1" applyFont="1" applyAlignment="1">
      <alignment horizontal="left" vertical="center"/>
    </xf>
    <xf numFmtId="1" fontId="58" fillId="0" borderId="0" xfId="395" applyNumberFormat="1" applyFont="1" applyAlignment="1">
      <alignment horizontal="left" vertical="center"/>
    </xf>
    <xf numFmtId="0" fontId="59" fillId="0" borderId="0" xfId="395" applyFont="1" applyAlignment="1">
      <alignment horizontal="left" vertical="center"/>
    </xf>
    <xf numFmtId="0" fontId="21" fillId="0" borderId="0" xfId="0" applyNumberFormat="1" applyFont="1" applyFill="1" applyBorder="1" applyAlignment="1" applyProtection="1">
      <alignment horizontal="center" vertical="center"/>
    </xf>
    <xf numFmtId="0" fontId="24" fillId="0" borderId="0" xfId="0" applyFont="1" applyAlignment="1">
      <alignment wrapText="1"/>
    </xf>
    <xf numFmtId="0" fontId="22" fillId="0" borderId="0" xfId="0" applyNumberFormat="1" applyFont="1" applyFill="1" applyBorder="1" applyAlignment="1" applyProtection="1">
      <alignment vertical="center"/>
    </xf>
    <xf numFmtId="0" fontId="24" fillId="0" borderId="0" xfId="0" applyNumberFormat="1" applyFont="1" applyFill="1" applyBorder="1" applyAlignment="1" applyProtection="1">
      <alignment vertical="center" wrapText="1"/>
    </xf>
    <xf numFmtId="0" fontId="7" fillId="0" borderId="0" xfId="0" applyNumberFormat="1" applyFont="1" applyFill="1" applyBorder="1" applyAlignment="1" applyProtection="1">
      <alignment vertical="center"/>
    </xf>
    <xf numFmtId="0" fontId="53" fillId="0" borderId="0" xfId="0" applyFont="1" applyAlignment="1">
      <alignment wrapText="1"/>
    </xf>
    <xf numFmtId="0" fontId="23" fillId="0" borderId="0" xfId="0" applyNumberFormat="1" applyFont="1" applyFill="1" applyBorder="1" applyAlignment="1" applyProtection="1">
      <alignment vertical="center" wrapText="1"/>
    </xf>
    <xf numFmtId="0" fontId="3" fillId="0" borderId="0" xfId="0" applyFont="1" applyAlignment="1">
      <alignment wrapText="1"/>
    </xf>
    <xf numFmtId="0" fontId="25" fillId="0" borderId="0" xfId="0" applyNumberFormat="1" applyFont="1" applyFill="1" applyBorder="1" applyAlignment="1" applyProtection="1">
      <alignment vertical="center"/>
    </xf>
    <xf numFmtId="0" fontId="4" fillId="3" borderId="0" xfId="0" applyFont="1" applyFill="1" applyBorder="1" applyAlignment="1" applyProtection="1">
      <alignment vertical="center"/>
      <protection locked="0"/>
    </xf>
    <xf numFmtId="0" fontId="4" fillId="3" borderId="0" xfId="0" applyFont="1" applyFill="1" applyBorder="1" applyAlignment="1" applyProtection="1">
      <alignment horizontal="left" vertical="center"/>
    </xf>
    <xf numFmtId="3" fontId="4" fillId="12" borderId="0" xfId="1" applyNumberFormat="1" applyFont="1" applyFill="1" applyBorder="1" applyAlignment="1" applyProtection="1">
      <alignment vertical="center"/>
    </xf>
    <xf numFmtId="0" fontId="0" fillId="12" borderId="0" xfId="0" applyFill="1" applyBorder="1" applyAlignment="1" applyProtection="1">
      <alignment horizontal="center" vertical="center"/>
    </xf>
    <xf numFmtId="37" fontId="4" fillId="3" borderId="0" xfId="0" applyNumberFormat="1" applyFont="1" applyFill="1" applyBorder="1" applyAlignment="1" applyProtection="1">
      <alignment horizontal="fill" vertical="center"/>
      <protection locked="0"/>
    </xf>
    <xf numFmtId="37" fontId="4" fillId="3" borderId="0" xfId="0" applyNumberFormat="1" applyFont="1" applyFill="1" applyBorder="1" applyAlignment="1" applyProtection="1">
      <alignment horizontal="centerContinuous" vertical="center"/>
    </xf>
    <xf numFmtId="37" fontId="4" fillId="3" borderId="0" xfId="0" applyNumberFormat="1" applyFont="1" applyFill="1" applyBorder="1" applyAlignment="1" applyProtection="1">
      <alignment horizontal="center" vertical="center"/>
      <protection locked="0"/>
    </xf>
    <xf numFmtId="0" fontId="4" fillId="12" borderId="29" xfId="43" applyFont="1" applyFill="1" applyBorder="1" applyAlignment="1" applyProtection="1">
      <alignment vertical="center"/>
    </xf>
    <xf numFmtId="0" fontId="4" fillId="12" borderId="0" xfId="43" applyFont="1" applyFill="1" applyBorder="1" applyAlignment="1" applyProtection="1">
      <alignment vertical="center"/>
    </xf>
    <xf numFmtId="0" fontId="4" fillId="12" borderId="15" xfId="43" applyFont="1" applyFill="1" applyBorder="1" applyAlignment="1" applyProtection="1">
      <alignment vertical="center"/>
    </xf>
    <xf numFmtId="0" fontId="34" fillId="12" borderId="29" xfId="43" applyFont="1" applyFill="1" applyBorder="1" applyAlignment="1" applyProtection="1">
      <alignment horizontal="left" vertical="center"/>
    </xf>
    <xf numFmtId="0" fontId="34" fillId="12" borderId="0" xfId="43" applyFont="1" applyFill="1" applyBorder="1" applyAlignment="1" applyProtection="1">
      <alignment vertical="center"/>
    </xf>
    <xf numFmtId="175" fontId="34" fillId="13" borderId="1" xfId="43" applyNumberFormat="1" applyFont="1" applyFill="1" applyBorder="1" applyAlignment="1" applyProtection="1">
      <alignment horizontal="center" vertical="center"/>
      <protection locked="0"/>
    </xf>
    <xf numFmtId="0" fontId="34" fillId="12" borderId="29" xfId="43" applyFont="1" applyFill="1" applyBorder="1" applyAlignment="1" applyProtection="1">
      <alignment vertical="center"/>
    </xf>
    <xf numFmtId="0" fontId="4" fillId="12" borderId="0" xfId="43" applyFont="1" applyFill="1" applyBorder="1" applyAlignment="1" applyProtection="1">
      <alignment vertical="center"/>
      <protection locked="0"/>
    </xf>
    <xf numFmtId="0" fontId="34" fillId="12" borderId="0" xfId="43" applyFont="1" applyFill="1" applyBorder="1" applyAlignment="1" applyProtection="1">
      <alignment vertical="center"/>
      <protection locked="0"/>
    </xf>
    <xf numFmtId="172" fontId="34" fillId="12" borderId="10" xfId="43" applyNumberFormat="1" applyFont="1" applyFill="1" applyBorder="1" applyAlignment="1" applyProtection="1">
      <alignment horizontal="center" vertical="center"/>
      <protection locked="0"/>
    </xf>
    <xf numFmtId="0" fontId="40" fillId="15" borderId="29" xfId="43" applyFont="1" applyFill="1" applyBorder="1" applyAlignment="1" applyProtection="1">
      <alignment vertical="center"/>
      <protection locked="0"/>
    </xf>
    <xf numFmtId="0" fontId="4" fillId="15" borderId="0" xfId="43" applyFont="1" applyFill="1" applyBorder="1" applyAlignment="1" applyProtection="1">
      <alignment vertical="center"/>
      <protection locked="0"/>
    </xf>
    <xf numFmtId="0" fontId="34" fillId="15" borderId="0" xfId="43" applyFont="1" applyFill="1" applyBorder="1" applyAlignment="1" applyProtection="1">
      <alignment vertical="center"/>
      <protection locked="0"/>
    </xf>
    <xf numFmtId="175" fontId="40" fillId="15" borderId="10" xfId="43" applyNumberFormat="1" applyFont="1" applyFill="1" applyBorder="1" applyAlignment="1" applyProtection="1">
      <alignment horizontal="center" vertical="center"/>
      <protection locked="0"/>
    </xf>
    <xf numFmtId="37" fontId="34" fillId="3" borderId="9" xfId="0" applyNumberFormat="1" applyFont="1" applyFill="1" applyBorder="1" applyAlignment="1" applyProtection="1">
      <alignment horizontal="left" vertical="center"/>
    </xf>
    <xf numFmtId="0" fontId="4" fillId="12" borderId="8" xfId="0" applyFont="1" applyFill="1" applyBorder="1" applyAlignment="1" applyProtection="1">
      <alignment vertical="center"/>
      <protection locked="0"/>
    </xf>
    <xf numFmtId="175" fontId="40" fillId="15" borderId="12" xfId="0" applyNumberFormat="1" applyFont="1" applyFill="1" applyBorder="1" applyAlignment="1" applyProtection="1">
      <alignment horizontal="center" vertical="center"/>
      <protection locked="0"/>
    </xf>
    <xf numFmtId="175" fontId="34" fillId="12" borderId="29" xfId="43" applyNumberFormat="1" applyFont="1" applyFill="1" applyBorder="1" applyAlignment="1" applyProtection="1">
      <alignment horizontal="center" vertical="center"/>
    </xf>
    <xf numFmtId="0" fontId="34" fillId="12" borderId="0" xfId="43" applyFont="1" applyFill="1" applyBorder="1" applyAlignment="1" applyProtection="1">
      <alignment horizontal="left" vertical="center"/>
    </xf>
    <xf numFmtId="0" fontId="34" fillId="12" borderId="15" xfId="43" applyFont="1" applyFill="1" applyBorder="1" applyAlignment="1" applyProtection="1">
      <alignment vertical="center"/>
    </xf>
    <xf numFmtId="175" fontId="34" fillId="12" borderId="9" xfId="43" applyNumberFormat="1" applyFont="1" applyFill="1" applyBorder="1" applyAlignment="1" applyProtection="1">
      <alignment horizontal="center" vertical="center"/>
    </xf>
    <xf numFmtId="0" fontId="51" fillId="0" borderId="0" xfId="0" applyFont="1" applyProtection="1">
      <protection locked="0"/>
    </xf>
    <xf numFmtId="0" fontId="43" fillId="0" borderId="0" xfId="0" applyFont="1" applyAlignment="1" applyProtection="1">
      <alignment vertical="center"/>
    </xf>
    <xf numFmtId="175" fontId="34" fillId="12" borderId="29" xfId="43" applyNumberFormat="1" applyFont="1" applyFill="1" applyBorder="1" applyAlignment="1" applyProtection="1">
      <alignment vertical="center"/>
    </xf>
    <xf numFmtId="175" fontId="40" fillId="15" borderId="9" xfId="43" applyNumberFormat="1" applyFont="1" applyFill="1" applyBorder="1" applyAlignment="1" applyProtection="1">
      <alignment horizontal="center" vertical="center"/>
    </xf>
    <xf numFmtId="0" fontId="40" fillId="15" borderId="8" xfId="43" applyFont="1" applyFill="1" applyBorder="1" applyAlignment="1" applyProtection="1">
      <alignment vertical="center"/>
    </xf>
    <xf numFmtId="0" fontId="34" fillId="15" borderId="12" xfId="43" applyFont="1" applyFill="1" applyBorder="1" applyAlignment="1" applyProtection="1">
      <alignment vertical="center"/>
    </xf>
    <xf numFmtId="0" fontId="4" fillId="15" borderId="12" xfId="43" applyFont="1" applyFill="1" applyBorder="1" applyAlignment="1" applyProtection="1">
      <alignment vertical="center"/>
    </xf>
    <xf numFmtId="172" fontId="34" fillId="12" borderId="29" xfId="0" applyNumberFormat="1" applyFont="1" applyFill="1" applyBorder="1" applyAlignment="1" applyProtection="1">
      <alignment horizontal="center" vertical="center"/>
    </xf>
    <xf numFmtId="0" fontId="34" fillId="12" borderId="0" xfId="0" applyFont="1" applyFill="1" applyBorder="1" applyAlignment="1" applyProtection="1">
      <alignment horizontal="left" vertical="center"/>
    </xf>
    <xf numFmtId="0" fontId="39" fillId="12" borderId="0" xfId="0" applyFont="1" applyFill="1" applyBorder="1" applyAlignment="1" applyProtection="1">
      <alignment horizontal="center" vertical="center"/>
    </xf>
    <xf numFmtId="0" fontId="0" fillId="12" borderId="15" xfId="0" applyFill="1" applyBorder="1" applyAlignment="1" applyProtection="1">
      <alignment vertical="center"/>
    </xf>
    <xf numFmtId="172" fontId="34" fillId="15" borderId="9" xfId="0" applyNumberFormat="1" applyFont="1" applyFill="1" applyBorder="1" applyAlignment="1" applyProtection="1">
      <alignment horizontal="center" vertical="center"/>
    </xf>
    <xf numFmtId="172" fontId="34" fillId="12" borderId="2" xfId="0" applyNumberFormat="1" applyFont="1" applyFill="1" applyBorder="1" applyAlignment="1" applyProtection="1">
      <alignment horizontal="center" vertical="center"/>
    </xf>
    <xf numFmtId="172" fontId="34" fillId="15" borderId="2" xfId="0" applyNumberFormat="1" applyFont="1" applyFill="1" applyBorder="1" applyAlignment="1" applyProtection="1">
      <alignment horizontal="center" vertical="center"/>
    </xf>
    <xf numFmtId="0" fontId="34" fillId="12" borderId="8" xfId="0" applyFont="1" applyFill="1" applyBorder="1" applyAlignment="1" applyProtection="1">
      <alignment horizontal="left" vertical="center"/>
    </xf>
    <xf numFmtId="0" fontId="39" fillId="12" borderId="8" xfId="0" applyFont="1" applyFill="1" applyBorder="1" applyAlignment="1" applyProtection="1">
      <alignment horizontal="center" vertical="center"/>
    </xf>
    <xf numFmtId="0" fontId="0" fillId="12" borderId="12" xfId="0" applyFill="1" applyBorder="1" applyAlignment="1" applyProtection="1">
      <alignment vertical="center"/>
    </xf>
    <xf numFmtId="0" fontId="34" fillId="0" borderId="0" xfId="22" applyFont="1" applyFill="1" applyBorder="1" applyAlignment="1" applyProtection="1">
      <alignment horizontal="left" vertical="center"/>
    </xf>
    <xf numFmtId="0" fontId="34" fillId="0" borderId="0" xfId="22" applyFont="1" applyFill="1" applyBorder="1" applyAlignment="1" applyProtection="1">
      <alignment vertical="center"/>
    </xf>
    <xf numFmtId="175" fontId="34" fillId="0" borderId="0" xfId="22" applyNumberFormat="1" applyFont="1" applyFill="1" applyBorder="1" applyAlignment="1" applyProtection="1">
      <alignment horizontal="center" vertical="center"/>
      <protection locked="0"/>
    </xf>
    <xf numFmtId="0" fontId="40" fillId="0" borderId="0" xfId="22" applyFont="1" applyFill="1" applyBorder="1" applyAlignment="1" applyProtection="1">
      <alignment horizontal="center" vertical="center"/>
    </xf>
    <xf numFmtId="0" fontId="40" fillId="0" borderId="0" xfId="22" applyFont="1" applyFill="1" applyBorder="1" applyAlignment="1" applyProtection="1">
      <alignment vertical="center"/>
    </xf>
    <xf numFmtId="175" fontId="40" fillId="0" borderId="0" xfId="22" applyNumberFormat="1" applyFont="1" applyFill="1" applyBorder="1" applyAlignment="1" applyProtection="1">
      <alignment horizontal="center" vertical="center"/>
    </xf>
    <xf numFmtId="0" fontId="34" fillId="12" borderId="29" xfId="0" applyFont="1" applyFill="1" applyBorder="1" applyAlignment="1" applyProtection="1">
      <alignment vertical="center"/>
    </xf>
    <xf numFmtId="0" fontId="34" fillId="12" borderId="0" xfId="0" applyFont="1" applyFill="1" applyBorder="1" applyAlignment="1" applyProtection="1">
      <alignment vertical="center"/>
    </xf>
    <xf numFmtId="175" fontId="34" fillId="12" borderId="15" xfId="0" applyNumberFormat="1" applyFont="1" applyFill="1" applyBorder="1" applyAlignment="1" applyProtection="1">
      <alignment horizontal="center" vertical="center"/>
    </xf>
    <xf numFmtId="0" fontId="34" fillId="12" borderId="29" xfId="0" applyFont="1" applyFill="1" applyBorder="1" applyAlignment="1" applyProtection="1">
      <alignment horizontal="left" vertical="center"/>
    </xf>
    <xf numFmtId="175" fontId="34" fillId="13" borderId="1" xfId="0" applyNumberFormat="1" applyFont="1" applyFill="1" applyBorder="1" applyAlignment="1" applyProtection="1">
      <alignment horizontal="center" vertical="center"/>
      <protection locked="0"/>
    </xf>
    <xf numFmtId="172" fontId="40" fillId="12" borderId="10" xfId="24" applyNumberFormat="1" applyFont="1" applyFill="1" applyBorder="1" applyAlignment="1" applyProtection="1">
      <alignment horizontal="center" vertical="center"/>
    </xf>
    <xf numFmtId="0" fontId="40" fillId="15" borderId="29" xfId="0" applyFont="1" applyFill="1" applyBorder="1" applyAlignment="1" applyProtection="1">
      <alignment vertical="center"/>
    </xf>
    <xf numFmtId="0" fontId="4" fillId="15" borderId="0" xfId="0" applyFont="1" applyFill="1" applyBorder="1" applyAlignment="1" applyProtection="1">
      <alignment vertical="center"/>
    </xf>
    <xf numFmtId="0" fontId="34" fillId="15" borderId="0" xfId="0" applyFont="1" applyFill="1" applyBorder="1" applyAlignment="1" applyProtection="1">
      <alignment vertical="center"/>
    </xf>
    <xf numFmtId="175" fontId="40" fillId="15" borderId="10" xfId="0" applyNumberFormat="1" applyFont="1" applyFill="1" applyBorder="1" applyAlignment="1" applyProtection="1">
      <alignment horizontal="center" vertical="center"/>
    </xf>
    <xf numFmtId="0" fontId="44" fillId="12" borderId="8" xfId="0" applyFont="1" applyFill="1" applyBorder="1" applyAlignment="1">
      <alignment horizontal="left" vertical="center"/>
    </xf>
    <xf numFmtId="0" fontId="4" fillId="3" borderId="15" xfId="12" applyNumberFormat="1" applyFont="1" applyFill="1" applyBorder="1" applyAlignment="1" applyProtection="1">
      <alignment horizontal="right" vertical="center"/>
    </xf>
    <xf numFmtId="175" fontId="11" fillId="12" borderId="29" xfId="43" applyNumberFormat="1" applyFont="1" applyFill="1" applyBorder="1" applyAlignment="1" applyProtection="1">
      <alignment horizontal="center" vertical="center"/>
    </xf>
    <xf numFmtId="0" fontId="11" fillId="12" borderId="0" xfId="43" applyFont="1" applyFill="1" applyBorder="1" applyAlignment="1" applyProtection="1">
      <alignment horizontal="left" vertical="center"/>
    </xf>
    <xf numFmtId="0" fontId="11" fillId="12" borderId="0" xfId="43" applyFont="1" applyFill="1" applyBorder="1" applyAlignment="1" applyProtection="1">
      <alignment vertical="center"/>
    </xf>
    <xf numFmtId="175" fontId="11" fillId="12" borderId="9" xfId="43" applyNumberFormat="1" applyFont="1" applyFill="1" applyBorder="1" applyAlignment="1" applyProtection="1">
      <alignment horizontal="center" vertical="center"/>
    </xf>
    <xf numFmtId="0" fontId="51" fillId="0" borderId="0" xfId="0" applyFont="1" applyAlignment="1" applyProtection="1">
      <alignment vertical="center"/>
      <protection locked="0"/>
    </xf>
    <xf numFmtId="175" fontId="11" fillId="12" borderId="29" xfId="43" applyNumberFormat="1" applyFont="1" applyFill="1" applyBorder="1" applyAlignment="1" applyProtection="1">
      <alignment vertical="center"/>
    </xf>
    <xf numFmtId="175" fontId="11" fillId="15" borderId="9" xfId="43" applyNumberFormat="1" applyFont="1" applyFill="1" applyBorder="1" applyAlignment="1" applyProtection="1">
      <alignment horizontal="center" vertical="center"/>
    </xf>
    <xf numFmtId="0" fontId="11" fillId="15" borderId="8" xfId="43" applyFont="1" applyFill="1" applyBorder="1" applyAlignment="1" applyProtection="1">
      <alignment vertical="center"/>
    </xf>
    <xf numFmtId="0" fontId="4" fillId="15" borderId="12" xfId="0" applyFont="1" applyFill="1" applyBorder="1" applyAlignment="1" applyProtection="1">
      <alignment vertical="center"/>
      <protection locked="0"/>
    </xf>
    <xf numFmtId="172" fontId="40" fillId="12" borderId="10" xfId="0" applyNumberFormat="1" applyFont="1" applyFill="1" applyBorder="1" applyAlignment="1" applyProtection="1">
      <alignment horizontal="center" vertical="center"/>
    </xf>
    <xf numFmtId="175" fontId="34" fillId="12" borderId="29" xfId="0" applyNumberFormat="1" applyFont="1" applyFill="1" applyBorder="1" applyAlignment="1" applyProtection="1">
      <alignment horizontal="center" vertical="center"/>
    </xf>
    <xf numFmtId="0" fontId="34" fillId="12" borderId="15" xfId="0" applyFont="1" applyFill="1" applyBorder="1" applyAlignment="1" applyProtection="1">
      <alignment vertical="center"/>
    </xf>
    <xf numFmtId="175" fontId="34" fillId="12" borderId="9" xfId="0" applyNumberFormat="1" applyFont="1" applyFill="1" applyBorder="1" applyAlignment="1" applyProtection="1">
      <alignment horizontal="center" vertical="center"/>
    </xf>
    <xf numFmtId="0" fontId="4" fillId="15" borderId="12" xfId="0" applyFont="1" applyFill="1" applyBorder="1" applyProtection="1">
      <protection locked="0"/>
    </xf>
    <xf numFmtId="177" fontId="4" fillId="3" borderId="1" xfId="0" applyNumberFormat="1" applyFont="1" applyFill="1" applyBorder="1" applyAlignment="1" applyProtection="1">
      <alignment horizontal="right" vertical="center"/>
    </xf>
    <xf numFmtId="170" fontId="4" fillId="3" borderId="1" xfId="0" applyNumberFormat="1" applyFont="1" applyFill="1" applyBorder="1" applyAlignment="1" applyProtection="1">
      <alignment horizontal="right" vertical="center"/>
    </xf>
    <xf numFmtId="0" fontId="4" fillId="3" borderId="1" xfId="0" applyFont="1" applyFill="1" applyBorder="1" applyAlignment="1" applyProtection="1">
      <alignment horizontal="right" vertical="center"/>
    </xf>
    <xf numFmtId="3" fontId="4" fillId="3" borderId="34" xfId="0" applyNumberFormat="1" applyFont="1" applyFill="1" applyBorder="1" applyAlignment="1" applyProtection="1">
      <alignment horizontal="right" vertical="center"/>
    </xf>
    <xf numFmtId="171" fontId="4" fillId="3" borderId="34" xfId="0" applyNumberFormat="1" applyFont="1" applyFill="1" applyBorder="1" applyAlignment="1" applyProtection="1">
      <alignment horizontal="right" vertical="center"/>
    </xf>
    <xf numFmtId="1" fontId="4" fillId="5" borderId="2" xfId="0" applyNumberFormat="1" applyFont="1" applyFill="1" applyBorder="1" applyAlignment="1" applyProtection="1">
      <alignment vertical="center"/>
      <protection locked="0"/>
    </xf>
    <xf numFmtId="1" fontId="4" fillId="5" borderId="1" xfId="0" applyNumberFormat="1" applyFont="1" applyFill="1" applyBorder="1" applyAlignment="1" applyProtection="1">
      <alignment vertical="center"/>
      <protection locked="0"/>
    </xf>
    <xf numFmtId="1" fontId="4" fillId="11" borderId="2" xfId="0" applyNumberFormat="1" applyFont="1" applyFill="1" applyBorder="1" applyAlignment="1" applyProtection="1">
      <alignment vertical="center"/>
    </xf>
    <xf numFmtId="179" fontId="4" fillId="3" borderId="0" xfId="0" applyNumberFormat="1" applyFont="1" applyFill="1" applyAlignment="1">
      <alignment horizontal="center" vertical="center"/>
    </xf>
    <xf numFmtId="0" fontId="54" fillId="0" borderId="0" xfId="0" applyFont="1" applyAlignment="1" applyProtection="1">
      <alignment vertical="center"/>
      <protection locked="0"/>
    </xf>
    <xf numFmtId="0" fontId="4" fillId="12" borderId="0" xfId="0" applyFont="1" applyFill="1" applyAlignment="1" applyProtection="1">
      <alignment vertical="center"/>
      <protection locked="0"/>
    </xf>
    <xf numFmtId="0" fontId="4" fillId="3" borderId="3" xfId="31" applyFont="1" applyFill="1" applyBorder="1" applyAlignment="1" applyProtection="1">
      <alignment horizontal="center" vertical="center"/>
    </xf>
    <xf numFmtId="0" fontId="4" fillId="3" borderId="7" xfId="31" applyFont="1" applyFill="1" applyBorder="1" applyAlignment="1" applyProtection="1">
      <alignment horizontal="center" vertical="center"/>
    </xf>
    <xf numFmtId="179" fontId="4" fillId="2" borderId="1" xfId="31" applyNumberFormat="1" applyFont="1" applyFill="1" applyBorder="1" applyAlignment="1" applyProtection="1">
      <alignment vertical="center"/>
      <protection locked="0"/>
    </xf>
    <xf numFmtId="3" fontId="4" fillId="3" borderId="1" xfId="31" applyNumberFormat="1" applyFont="1" applyFill="1" applyBorder="1" applyAlignment="1" applyProtection="1">
      <alignment vertical="center"/>
    </xf>
    <xf numFmtId="0" fontId="4" fillId="0" borderId="0" xfId="82" applyFont="1" applyAlignment="1">
      <alignment vertical="center"/>
    </xf>
    <xf numFmtId="0" fontId="4" fillId="0" borderId="0" xfId="413" applyFont="1" applyAlignment="1">
      <alignment vertical="center" wrapText="1"/>
    </xf>
    <xf numFmtId="0" fontId="4" fillId="0" borderId="0" xfId="23" applyFont="1" applyAlignment="1">
      <alignment vertical="center" wrapText="1"/>
    </xf>
    <xf numFmtId="0" fontId="4" fillId="0" borderId="0" xfId="24" applyFont="1" applyAlignment="1">
      <alignment vertical="center" wrapText="1"/>
    </xf>
    <xf numFmtId="0" fontId="4" fillId="0" borderId="0" xfId="48" applyFont="1" applyAlignment="1">
      <alignment vertical="center" wrapText="1"/>
    </xf>
    <xf numFmtId="0" fontId="4" fillId="0" borderId="0" xfId="38" applyFont="1" applyAlignment="1">
      <alignment vertical="center" wrapText="1"/>
    </xf>
    <xf numFmtId="0" fontId="4" fillId="0" borderId="0" xfId="70" applyFont="1" applyAlignment="1">
      <alignment vertical="center" wrapText="1"/>
    </xf>
    <xf numFmtId="0" fontId="4" fillId="0" borderId="0" xfId="78" applyFont="1" applyAlignment="1">
      <alignment vertical="center" wrapText="1"/>
    </xf>
    <xf numFmtId="0" fontId="4" fillId="0" borderId="0" xfId="102" applyFont="1" applyAlignment="1">
      <alignment vertical="center" wrapText="1"/>
    </xf>
    <xf numFmtId="0" fontId="45" fillId="0" borderId="0" xfId="0" applyFont="1" applyAlignment="1" applyProtection="1">
      <alignment vertical="center"/>
    </xf>
    <xf numFmtId="0" fontId="10" fillId="18" borderId="0" xfId="12" applyFill="1" applyAlignment="1" applyProtection="1"/>
    <xf numFmtId="0" fontId="47" fillId="18" borderId="0" xfId="336" applyFill="1"/>
    <xf numFmtId="0" fontId="4" fillId="0" borderId="0" xfId="111" applyFont="1" applyAlignment="1">
      <alignment vertical="center"/>
    </xf>
    <xf numFmtId="0" fontId="60" fillId="12" borderId="10" xfId="0" applyFont="1" applyFill="1" applyBorder="1" applyAlignment="1">
      <alignment horizontal="center" vertical="center"/>
    </xf>
    <xf numFmtId="0" fontId="3" fillId="12" borderId="11" xfId="0" applyFont="1" applyFill="1" applyBorder="1" applyAlignment="1">
      <alignment horizontal="centerContinuous" vertical="center"/>
    </xf>
    <xf numFmtId="0" fontId="40" fillId="12" borderId="2" xfId="0" applyFont="1" applyFill="1" applyBorder="1" applyAlignment="1">
      <alignment horizontal="centerContinuous" vertical="center"/>
    </xf>
    <xf numFmtId="0" fontId="60" fillId="12" borderId="10" xfId="0" applyFont="1" applyFill="1" applyBorder="1" applyAlignment="1">
      <alignment horizontal="center" vertical="center"/>
    </xf>
    <xf numFmtId="0" fontId="3" fillId="12" borderId="11" xfId="0" applyFont="1" applyFill="1" applyBorder="1" applyAlignment="1">
      <alignment horizontal="centerContinuous" vertical="center"/>
    </xf>
    <xf numFmtId="0" fontId="40" fillId="12" borderId="2" xfId="0" applyFont="1" applyFill="1" applyBorder="1" applyAlignment="1">
      <alignment horizontal="centerContinuous" vertical="center"/>
    </xf>
    <xf numFmtId="0" fontId="60" fillId="12" borderId="10" xfId="0" applyFont="1" applyFill="1" applyBorder="1" applyAlignment="1">
      <alignment horizontal="center" vertical="center"/>
    </xf>
    <xf numFmtId="0" fontId="3" fillId="12" borderId="11" xfId="0" applyFont="1" applyFill="1" applyBorder="1" applyAlignment="1">
      <alignment horizontal="centerContinuous" vertical="center"/>
    </xf>
    <xf numFmtId="0" fontId="40" fillId="12" borderId="2" xfId="0" applyFont="1" applyFill="1" applyBorder="1" applyAlignment="1">
      <alignment horizontal="centerContinuous" vertical="center"/>
    </xf>
    <xf numFmtId="0" fontId="4" fillId="15" borderId="0" xfId="0" applyFont="1" applyFill="1" applyBorder="1" applyAlignment="1">
      <alignment vertical="center"/>
    </xf>
    <xf numFmtId="175" fontId="4" fillId="15" borderId="0" xfId="0" applyNumberFormat="1" applyFont="1" applyFill="1" applyBorder="1" applyAlignment="1">
      <alignment horizontal="center" vertical="center"/>
    </xf>
    <xf numFmtId="0" fontId="0" fillId="0" borderId="0" xfId="0" applyAlignment="1">
      <alignment vertical="center"/>
    </xf>
    <xf numFmtId="0" fontId="3" fillId="4" borderId="1" xfId="0" applyFont="1" applyFill="1" applyBorder="1" applyAlignment="1" applyProtection="1">
      <alignment horizontal="left" vertical="center"/>
      <protection locked="0"/>
    </xf>
    <xf numFmtId="0" fontId="3" fillId="4" borderId="0" xfId="0" applyFont="1" applyFill="1" applyAlignment="1" applyProtection="1">
      <alignment horizontal="left" vertical="center"/>
      <protection locked="0"/>
    </xf>
    <xf numFmtId="0" fontId="3" fillId="13" borderId="18" xfId="0" applyNumberFormat="1" applyFont="1" applyFill="1" applyBorder="1" applyAlignment="1" applyProtection="1">
      <alignment horizontal="left" vertical="center"/>
      <protection locked="0"/>
    </xf>
    <xf numFmtId="0" fontId="3" fillId="13" borderId="0" xfId="0" applyNumberFormat="1" applyFont="1" applyFill="1" applyBorder="1" applyAlignment="1" applyProtection="1">
      <alignment horizontal="left" vertical="center"/>
      <protection locked="0"/>
    </xf>
    <xf numFmtId="0" fontId="0" fillId="0" borderId="0" xfId="0" applyAlignment="1">
      <alignment vertical="center"/>
    </xf>
    <xf numFmtId="37" fontId="4" fillId="3" borderId="0" xfId="0" applyNumberFormat="1" applyFont="1" applyFill="1" applyBorder="1" applyAlignment="1" applyProtection="1">
      <alignment horizontal="center" vertical="center"/>
    </xf>
    <xf numFmtId="0" fontId="4" fillId="3" borderId="0" xfId="0" applyFont="1" applyFill="1" applyAlignment="1" applyProtection="1">
      <alignment horizontal="right" vertical="center"/>
    </xf>
    <xf numFmtId="0" fontId="4" fillId="3" borderId="0" xfId="0" applyNumberFormat="1" applyFont="1" applyFill="1" applyBorder="1" applyAlignment="1" applyProtection="1">
      <alignment horizontal="right" vertical="center"/>
    </xf>
    <xf numFmtId="0" fontId="4" fillId="3" borderId="0" xfId="47" applyFont="1" applyFill="1" applyAlignment="1" applyProtection="1">
      <alignment horizontal="right" vertical="center"/>
    </xf>
    <xf numFmtId="0" fontId="4" fillId="3" borderId="0" xfId="0" applyFont="1" applyFill="1" applyAlignment="1" applyProtection="1">
      <alignment horizontal="right" vertical="center"/>
    </xf>
    <xf numFmtId="0" fontId="4" fillId="5" borderId="2" xfId="0" applyFont="1" applyFill="1" applyBorder="1" applyAlignment="1" applyProtection="1">
      <alignment horizontal="right" vertical="center"/>
      <protection locked="0"/>
    </xf>
    <xf numFmtId="0" fontId="4" fillId="4" borderId="1" xfId="0" applyFont="1" applyFill="1" applyBorder="1" applyAlignment="1" applyProtection="1">
      <alignment vertical="center" wrapText="1"/>
      <protection locked="0"/>
    </xf>
    <xf numFmtId="37" fontId="4" fillId="3" borderId="15" xfId="0" applyNumberFormat="1" applyFont="1" applyFill="1" applyBorder="1" applyAlignment="1" applyProtection="1">
      <alignment horizontal="center" vertical="center"/>
    </xf>
    <xf numFmtId="37" fontId="4" fillId="3" borderId="6" xfId="0" applyNumberFormat="1" applyFont="1" applyFill="1" applyBorder="1" applyAlignment="1" applyProtection="1">
      <alignment horizontal="fill" vertical="center"/>
    </xf>
    <xf numFmtId="37" fontId="4" fillId="11" borderId="7" xfId="0" applyNumberFormat="1" applyFont="1" applyFill="1" applyBorder="1" applyAlignment="1" applyProtection="1">
      <alignment vertical="center"/>
    </xf>
    <xf numFmtId="0" fontId="33" fillId="16" borderId="0" xfId="0" applyFont="1" applyFill="1" applyBorder="1" applyAlignment="1">
      <alignment horizontal="center" vertical="center"/>
    </xf>
    <xf numFmtId="3" fontId="0" fillId="13" borderId="0" xfId="0" applyNumberFormat="1" applyFill="1" applyBorder="1" applyAlignment="1" applyProtection="1">
      <alignment horizontal="center" vertical="center"/>
      <protection locked="0"/>
    </xf>
    <xf numFmtId="3" fontId="0" fillId="14" borderId="0" xfId="0" applyNumberFormat="1" applyFill="1" applyBorder="1" applyAlignment="1">
      <alignment horizontal="center" vertical="center"/>
    </xf>
    <xf numFmtId="0" fontId="0" fillId="16" borderId="0" xfId="0" applyFill="1" applyBorder="1" applyAlignment="1">
      <alignment horizontal="center" vertical="center" wrapText="1"/>
    </xf>
    <xf numFmtId="0" fontId="3" fillId="0" borderId="0" xfId="0" applyFont="1" applyAlignment="1" applyProtection="1">
      <alignment vertical="center"/>
      <protection locked="0"/>
    </xf>
    <xf numFmtId="17" fontId="4" fillId="0" borderId="0" xfId="0" applyNumberFormat="1" applyFont="1" applyAlignment="1" applyProtection="1">
      <alignment vertical="center"/>
      <protection locked="0"/>
    </xf>
    <xf numFmtId="3" fontId="4" fillId="2" borderId="1" xfId="0" applyNumberFormat="1" applyFont="1" applyFill="1" applyBorder="1" applyAlignment="1" applyProtection="1">
      <alignment horizontal="left" vertical="center"/>
      <protection locked="0"/>
    </xf>
    <xf numFmtId="3" fontId="4" fillId="2" borderId="2" xfId="0" applyNumberFormat="1" applyFont="1" applyFill="1" applyBorder="1" applyAlignment="1" applyProtection="1">
      <alignment horizontal="left" vertical="center"/>
      <protection locked="0"/>
    </xf>
    <xf numFmtId="0" fontId="0" fillId="0" borderId="0" xfId="0" applyAlignment="1">
      <alignment vertical="center"/>
    </xf>
    <xf numFmtId="0" fontId="4" fillId="3" borderId="0" xfId="0" applyFont="1" applyFill="1" applyAlignment="1" applyProtection="1">
      <alignment horizontal="center" vertical="center"/>
    </xf>
    <xf numFmtId="0" fontId="3" fillId="4" borderId="1" xfId="0" applyFont="1" applyFill="1" applyBorder="1" applyAlignment="1" applyProtection="1">
      <alignment vertical="center"/>
      <protection locked="0"/>
    </xf>
    <xf numFmtId="3" fontId="3" fillId="4" borderId="1" xfId="1" applyNumberFormat="1" applyFont="1" applyFill="1" applyBorder="1" applyAlignment="1" applyProtection="1">
      <alignment horizontal="center" vertical="center"/>
      <protection locked="0"/>
    </xf>
    <xf numFmtId="0" fontId="3" fillId="4" borderId="7" xfId="0" applyFont="1" applyFill="1" applyBorder="1" applyAlignment="1" applyProtection="1">
      <alignment horizontal="center" vertical="center"/>
      <protection locked="0"/>
    </xf>
    <xf numFmtId="0" fontId="3" fillId="0" borderId="0" xfId="0" applyFont="1" applyAlignment="1">
      <alignment vertical="center"/>
    </xf>
    <xf numFmtId="3" fontId="3" fillId="3" borderId="1" xfId="0" applyNumberFormat="1" applyFont="1" applyFill="1" applyBorder="1" applyAlignment="1" applyProtection="1">
      <alignment horizontal="right" vertical="center"/>
    </xf>
    <xf numFmtId="3" fontId="3" fillId="3" borderId="1" xfId="0" applyNumberFormat="1" applyFont="1" applyFill="1" applyBorder="1" applyAlignment="1" applyProtection="1">
      <alignment horizontal="center" vertical="center"/>
    </xf>
    <xf numFmtId="180" fontId="4" fillId="2" borderId="7" xfId="0" applyNumberFormat="1" applyFont="1" applyFill="1" applyBorder="1" applyAlignment="1" applyProtection="1">
      <alignment horizontal="center" vertical="center"/>
      <protection locked="0"/>
    </xf>
    <xf numFmtId="181" fontId="4" fillId="12" borderId="0" xfId="0" applyNumberFormat="1" applyFont="1" applyFill="1" applyAlignment="1" applyProtection="1">
      <alignment horizontal="center" vertical="center"/>
    </xf>
    <xf numFmtId="181" fontId="4" fillId="3" borderId="0" xfId="0" applyNumberFormat="1" applyFont="1" applyFill="1" applyAlignment="1" applyProtection="1">
      <alignment horizontal="centerContinuous" vertical="center"/>
    </xf>
    <xf numFmtId="181" fontId="4" fillId="3" borderId="10" xfId="0" applyNumberFormat="1" applyFont="1" applyFill="1" applyBorder="1" applyAlignment="1" applyProtection="1">
      <alignment horizontal="centerContinuous" vertical="center"/>
    </xf>
    <xf numFmtId="181" fontId="4" fillId="3" borderId="3" xfId="0" applyNumberFormat="1" applyFont="1" applyFill="1" applyBorder="1" applyAlignment="1" applyProtection="1">
      <alignment horizontal="center" vertical="center"/>
    </xf>
    <xf numFmtId="181" fontId="4" fillId="3" borderId="7" xfId="0" applyNumberFormat="1" applyFont="1" applyFill="1" applyBorder="1" applyAlignment="1" applyProtection="1">
      <alignment horizontal="center" vertical="center"/>
    </xf>
    <xf numFmtId="181" fontId="4" fillId="3" borderId="1" xfId="0" applyNumberFormat="1" applyFont="1" applyFill="1" applyBorder="1" applyAlignment="1" applyProtection="1">
      <alignment horizontal="center" vertical="center"/>
    </xf>
    <xf numFmtId="181" fontId="4" fillId="14" borderId="31" xfId="0" applyNumberFormat="1" applyFont="1" applyFill="1" applyBorder="1" applyAlignment="1" applyProtection="1">
      <alignment horizontal="center" vertical="center"/>
    </xf>
    <xf numFmtId="181" fontId="4" fillId="3" borderId="0" xfId="0" applyNumberFormat="1" applyFont="1" applyFill="1" applyBorder="1" applyAlignment="1" applyProtection="1">
      <alignment horizontal="center" vertical="center"/>
    </xf>
    <xf numFmtId="181" fontId="4" fillId="3" borderId="0" xfId="0" applyNumberFormat="1" applyFont="1" applyFill="1" applyAlignment="1" applyProtection="1">
      <alignment vertical="center"/>
    </xf>
    <xf numFmtId="181" fontId="4" fillId="3" borderId="0" xfId="0" applyNumberFormat="1" applyFont="1" applyFill="1" applyAlignment="1" applyProtection="1">
      <alignment horizontal="center" vertical="center"/>
    </xf>
    <xf numFmtId="181" fontId="4" fillId="0" borderId="0" xfId="0" applyNumberFormat="1" applyFont="1" applyAlignment="1">
      <alignment vertical="center"/>
    </xf>
    <xf numFmtId="0" fontId="0" fillId="0" borderId="0" xfId="0" applyAlignment="1">
      <alignment horizontal="center" vertical="center"/>
    </xf>
    <xf numFmtId="0" fontId="0" fillId="0" borderId="0" xfId="0" applyAlignment="1">
      <alignment vertical="center"/>
    </xf>
    <xf numFmtId="0" fontId="34" fillId="3" borderId="0" xfId="0" applyFont="1" applyFill="1" applyAlignment="1" applyProtection="1">
      <alignment horizontal="centerContinuous" vertical="center"/>
    </xf>
    <xf numFmtId="37" fontId="34" fillId="12" borderId="0" xfId="0" applyNumberFormat="1" applyFont="1" applyFill="1" applyAlignment="1" applyProtection="1">
      <alignment horizontal="center" vertical="center"/>
    </xf>
    <xf numFmtId="37" fontId="40" fillId="3" borderId="0" xfId="0" applyNumberFormat="1" applyFont="1" applyFill="1" applyAlignment="1" applyProtection="1">
      <alignment horizontal="centerContinuous" vertical="center"/>
    </xf>
    <xf numFmtId="0" fontId="44" fillId="14" borderId="0" xfId="0" applyFont="1" applyFill="1" applyAlignment="1">
      <alignment vertical="center"/>
    </xf>
    <xf numFmtId="37" fontId="34" fillId="12" borderId="0" xfId="0" applyNumberFormat="1" applyFont="1" applyFill="1" applyAlignment="1" applyProtection="1">
      <alignment horizontal="left" vertical="center"/>
    </xf>
    <xf numFmtId="0" fontId="0" fillId="14" borderId="0" xfId="0" applyFill="1"/>
    <xf numFmtId="37" fontId="13" fillId="3" borderId="0" xfId="0" applyNumberFormat="1" applyFont="1" applyFill="1" applyAlignment="1" applyProtection="1">
      <alignment horizontal="center" vertical="center"/>
    </xf>
    <xf numFmtId="0" fontId="14" fillId="0" borderId="0" xfId="0" applyFont="1" applyAlignment="1">
      <alignment horizontal="center" vertical="center"/>
    </xf>
    <xf numFmtId="37" fontId="12" fillId="3" borderId="0" xfId="0" applyNumberFormat="1" applyFont="1" applyFill="1" applyAlignment="1" applyProtection="1">
      <alignment horizontal="center" vertical="center"/>
    </xf>
    <xf numFmtId="0" fontId="0" fillId="0" borderId="0" xfId="0" applyAlignment="1">
      <alignment horizontal="center" vertical="center"/>
    </xf>
    <xf numFmtId="0" fontId="4" fillId="3"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0" fontId="3" fillId="7" borderId="0" xfId="0" applyFont="1" applyFill="1" applyBorder="1" applyAlignment="1">
      <alignment horizontal="center" vertical="center"/>
    </xf>
    <xf numFmtId="0" fontId="1" fillId="7" borderId="0" xfId="0" applyFont="1" applyFill="1" applyBorder="1" applyAlignment="1">
      <alignment horizontal="center" vertical="center"/>
    </xf>
    <xf numFmtId="0" fontId="3" fillId="3" borderId="14" xfId="0" applyFont="1" applyFill="1" applyBorder="1" applyAlignment="1" applyProtection="1">
      <alignment horizontal="center" vertical="center"/>
    </xf>
    <xf numFmtId="37" fontId="3" fillId="3" borderId="14" xfId="0" applyNumberFormat="1" applyFont="1" applyFill="1" applyBorder="1" applyAlignment="1" applyProtection="1">
      <alignment horizontal="center" vertical="center"/>
    </xf>
    <xf numFmtId="0" fontId="18" fillId="0" borderId="14" xfId="0" applyFont="1" applyBorder="1" applyAlignment="1">
      <alignment horizontal="center" vertical="center"/>
    </xf>
    <xf numFmtId="37" fontId="4" fillId="3" borderId="3" xfId="0" applyNumberFormat="1" applyFont="1" applyFill="1" applyBorder="1" applyAlignment="1" applyProtection="1">
      <alignment horizontal="center" vertical="center" wrapText="1"/>
    </xf>
    <xf numFmtId="0" fontId="0" fillId="0" borderId="7" xfId="0" applyBorder="1" applyAlignment="1">
      <alignment horizontal="center" vertical="center" wrapText="1"/>
    </xf>
    <xf numFmtId="0" fontId="15" fillId="3" borderId="0" xfId="0" applyFont="1" applyFill="1" applyBorder="1" applyAlignment="1">
      <alignment vertical="center"/>
    </xf>
    <xf numFmtId="0" fontId="19" fillId="0" borderId="0" xfId="0" applyFont="1" applyAlignment="1">
      <alignment vertical="center"/>
    </xf>
    <xf numFmtId="0" fontId="4" fillId="7" borderId="3" xfId="0" applyFont="1" applyFill="1" applyBorder="1" applyAlignment="1">
      <alignment horizontal="center" vertical="center" wrapText="1"/>
    </xf>
    <xf numFmtId="0" fontId="0" fillId="0" borderId="6" xfId="0" applyBorder="1" applyAlignment="1">
      <alignment horizontal="center" vertical="center" wrapText="1"/>
    </xf>
    <xf numFmtId="3" fontId="4" fillId="3" borderId="3" xfId="0" applyNumberFormat="1" applyFont="1" applyFill="1" applyBorder="1" applyAlignment="1" applyProtection="1">
      <alignment horizontal="center" vertical="center" wrapText="1"/>
    </xf>
    <xf numFmtId="0" fontId="4" fillId="8" borderId="0" xfId="0" applyFont="1" applyFill="1" applyBorder="1" applyAlignment="1">
      <alignment vertical="center" wrapText="1"/>
    </xf>
    <xf numFmtId="0" fontId="0" fillId="0" borderId="0" xfId="0" applyAlignment="1">
      <alignment vertical="center"/>
    </xf>
    <xf numFmtId="37" fontId="3" fillId="3" borderId="29" xfId="0" applyNumberFormat="1" applyFont="1" applyFill="1" applyBorder="1" applyAlignment="1" applyProtection="1">
      <alignment horizontal="center" vertical="center"/>
    </xf>
    <xf numFmtId="0" fontId="0" fillId="0" borderId="15" xfId="0" applyBorder="1" applyAlignment="1">
      <alignment horizontal="center" vertical="center"/>
    </xf>
    <xf numFmtId="0" fontId="11" fillId="3" borderId="6" xfId="0" applyFont="1" applyFill="1" applyBorder="1" applyAlignment="1">
      <alignment horizontal="center" vertical="center" wrapText="1"/>
    </xf>
    <xf numFmtId="0" fontId="11" fillId="3" borderId="7" xfId="0" applyFont="1" applyFill="1" applyBorder="1" applyAlignment="1">
      <alignment horizontal="center" vertical="center" wrapText="1"/>
    </xf>
    <xf numFmtId="37" fontId="3" fillId="10" borderId="14" xfId="0" applyNumberFormat="1" applyFont="1" applyFill="1" applyBorder="1" applyAlignment="1" applyProtection="1">
      <alignment horizontal="center" vertical="center"/>
    </xf>
    <xf numFmtId="0" fontId="0" fillId="0" borderId="14" xfId="0" applyBorder="1" applyAlignment="1">
      <alignment horizontal="center" vertical="center"/>
    </xf>
    <xf numFmtId="37" fontId="12" fillId="3" borderId="0" xfId="0" applyNumberFormat="1" applyFont="1" applyFill="1" applyBorder="1" applyAlignment="1" applyProtection="1">
      <alignment horizontal="center" vertical="center"/>
    </xf>
    <xf numFmtId="0" fontId="1" fillId="3" borderId="14" xfId="0" applyFont="1" applyFill="1" applyBorder="1" applyAlignment="1">
      <alignment horizontal="center" vertical="center"/>
    </xf>
    <xf numFmtId="37" fontId="4" fillId="3" borderId="6" xfId="0" applyNumberFormat="1" applyFont="1" applyFill="1" applyBorder="1" applyAlignment="1" applyProtection="1">
      <alignment horizontal="center" vertical="center" wrapText="1"/>
    </xf>
    <xf numFmtId="0" fontId="4" fillId="3" borderId="6" xfId="0" applyFont="1" applyFill="1" applyBorder="1" applyAlignment="1" applyProtection="1">
      <alignment horizontal="center" vertical="center" wrapText="1"/>
    </xf>
    <xf numFmtId="0" fontId="4" fillId="3" borderId="7"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11" fillId="3" borderId="7" xfId="0" applyFont="1" applyFill="1" applyBorder="1" applyAlignment="1" applyProtection="1">
      <alignment horizontal="center" vertical="center" wrapText="1"/>
    </xf>
    <xf numFmtId="3" fontId="4" fillId="3" borderId="6" xfId="0" applyNumberFormat="1" applyFont="1" applyFill="1" applyBorder="1" applyAlignment="1" applyProtection="1">
      <alignment vertical="center" wrapText="1"/>
      <protection locked="0"/>
    </xf>
    <xf numFmtId="3" fontId="4" fillId="3" borderId="7" xfId="0" applyNumberFormat="1" applyFont="1" applyFill="1" applyBorder="1" applyAlignment="1" applyProtection="1">
      <alignment vertical="center" wrapText="1"/>
      <protection locked="0"/>
    </xf>
    <xf numFmtId="0" fontId="4" fillId="0" borderId="0" xfId="395" applyFont="1" applyAlignment="1">
      <alignment horizontal="left" vertical="center" wrapText="1"/>
    </xf>
    <xf numFmtId="0" fontId="28" fillId="0" borderId="0" xfId="395" applyAlignment="1">
      <alignment horizontal="left" vertical="center" wrapText="1"/>
    </xf>
    <xf numFmtId="0" fontId="12" fillId="0" borderId="0" xfId="395" applyFont="1" applyAlignment="1">
      <alignment horizontal="left" vertical="center"/>
    </xf>
    <xf numFmtId="3" fontId="4" fillId="13" borderId="5" xfId="0" applyNumberFormat="1" applyFont="1" applyFill="1" applyBorder="1" applyAlignment="1" applyProtection="1">
      <alignment horizontal="center" vertical="center"/>
      <protection locked="0"/>
    </xf>
    <xf numFmtId="3" fontId="0" fillId="13" borderId="4" xfId="0" applyNumberFormat="1" applyFill="1" applyBorder="1" applyAlignment="1" applyProtection="1">
      <alignment horizontal="center" vertical="center"/>
      <protection locked="0"/>
    </xf>
    <xf numFmtId="37" fontId="34" fillId="12" borderId="0" xfId="0" applyNumberFormat="1" applyFont="1" applyFill="1" applyAlignment="1" applyProtection="1">
      <alignment horizontal="center" vertical="center"/>
    </xf>
    <xf numFmtId="0" fontId="44" fillId="0" borderId="0" xfId="0" applyFont="1" applyAlignment="1">
      <alignment horizontal="center" vertical="center"/>
    </xf>
    <xf numFmtId="0" fontId="8" fillId="16" borderId="2" xfId="0" applyFont="1" applyFill="1" applyBorder="1" applyAlignment="1" applyProtection="1">
      <alignment horizontal="center" vertical="center"/>
    </xf>
    <xf numFmtId="0" fontId="33" fillId="16" borderId="10" xfId="0" applyFont="1" applyFill="1" applyBorder="1" applyAlignment="1">
      <alignment horizontal="center" vertical="center"/>
    </xf>
    <xf numFmtId="0" fontId="4" fillId="3" borderId="0" xfId="0" applyFont="1" applyFill="1" applyAlignment="1" applyProtection="1">
      <alignment horizontal="center" vertical="center"/>
    </xf>
    <xf numFmtId="3" fontId="4" fillId="14" borderId="2" xfId="0" applyNumberFormat="1" applyFont="1" applyFill="1" applyBorder="1" applyAlignment="1" applyProtection="1">
      <alignment horizontal="center" vertical="center"/>
    </xf>
    <xf numFmtId="3" fontId="0" fillId="14" borderId="10" xfId="0" applyNumberFormat="1" applyFill="1" applyBorder="1" applyAlignment="1">
      <alignment horizontal="center" vertical="center"/>
    </xf>
    <xf numFmtId="0" fontId="4" fillId="16" borderId="5" xfId="0" applyFont="1" applyFill="1" applyBorder="1" applyAlignment="1" applyProtection="1">
      <alignment horizontal="center" vertical="center" wrapText="1"/>
    </xf>
    <xf numFmtId="0" fontId="0" fillId="16" borderId="4" xfId="0" applyFill="1" applyBorder="1" applyAlignment="1">
      <alignment horizontal="center" vertical="center" wrapText="1"/>
    </xf>
    <xf numFmtId="0" fontId="0" fillId="16" borderId="9" xfId="0" applyFill="1" applyBorder="1" applyAlignment="1">
      <alignment horizontal="center" vertical="center" wrapText="1"/>
    </xf>
    <xf numFmtId="0" fontId="0" fillId="16" borderId="12" xfId="0" applyFill="1" applyBorder="1" applyAlignment="1">
      <alignment horizontal="center" vertical="center" wrapText="1"/>
    </xf>
    <xf numFmtId="0" fontId="6" fillId="3" borderId="0" xfId="0" applyFont="1" applyFill="1" applyAlignment="1">
      <alignment horizontal="center" vertical="center"/>
    </xf>
    <xf numFmtId="37" fontId="3" fillId="3" borderId="0" xfId="0" applyNumberFormat="1" applyFont="1" applyFill="1" applyAlignment="1">
      <alignment horizontal="center" vertical="center"/>
    </xf>
    <xf numFmtId="0" fontId="3" fillId="3" borderId="0" xfId="0" applyFont="1" applyFill="1" applyAlignment="1">
      <alignment horizontal="center" vertical="center"/>
    </xf>
    <xf numFmtId="37" fontId="4" fillId="3" borderId="2" xfId="0" applyNumberFormat="1" applyFont="1" applyFill="1" applyBorder="1" applyAlignment="1" applyProtection="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37" fontId="3" fillId="3" borderId="0" xfId="0" applyNumberFormat="1" applyFont="1" applyFill="1" applyAlignment="1" applyProtection="1">
      <alignment horizontal="center" vertical="center"/>
    </xf>
    <xf numFmtId="0" fontId="3" fillId="3" borderId="0" xfId="0" applyFont="1" applyFill="1" applyAlignment="1" applyProtection="1">
      <alignment horizontal="center" vertical="center"/>
    </xf>
    <xf numFmtId="0" fontId="4" fillId="3" borderId="9" xfId="0" applyFont="1" applyFill="1" applyBorder="1" applyAlignment="1" applyProtection="1">
      <alignment horizontal="center"/>
    </xf>
    <xf numFmtId="0" fontId="0" fillId="0" borderId="12" xfId="0" applyBorder="1" applyAlignment="1" applyProtection="1"/>
    <xf numFmtId="1" fontId="4" fillId="3" borderId="9" xfId="0" applyNumberFormat="1" applyFont="1" applyFill="1" applyBorder="1" applyAlignment="1" applyProtection="1">
      <alignment horizontal="center"/>
    </xf>
    <xf numFmtId="0" fontId="0" fillId="0" borderId="12" xfId="0" applyBorder="1" applyAlignment="1" applyProtection="1">
      <alignment horizontal="center"/>
    </xf>
    <xf numFmtId="0" fontId="12" fillId="12" borderId="0" xfId="411" applyFont="1" applyFill="1" applyAlignment="1">
      <alignment horizontal="center"/>
    </xf>
    <xf numFmtId="0" fontId="2" fillId="12" borderId="0" xfId="31" applyFill="1" applyAlignment="1">
      <alignment horizontal="center"/>
    </xf>
    <xf numFmtId="0" fontId="3" fillId="12" borderId="0" xfId="31" applyFont="1" applyFill="1" applyAlignment="1">
      <alignment horizontal="center" vertical="center"/>
    </xf>
    <xf numFmtId="0" fontId="12" fillId="12" borderId="0" xfId="31" applyFont="1" applyFill="1" applyAlignment="1">
      <alignment horizontal="center" vertical="center"/>
    </xf>
    <xf numFmtId="0" fontId="4" fillId="12" borderId="0" xfId="31" applyFont="1" applyFill="1" applyAlignment="1">
      <alignment vertical="center" wrapText="1"/>
    </xf>
    <xf numFmtId="0" fontId="4" fillId="3" borderId="0" xfId="0" applyNumberFormat="1" applyFont="1" applyFill="1" applyBorder="1" applyAlignment="1" applyProtection="1">
      <alignment horizontal="right" vertical="center"/>
    </xf>
    <xf numFmtId="0" fontId="0" fillId="0" borderId="0" xfId="0" applyAlignment="1">
      <alignment horizontal="right" vertical="center"/>
    </xf>
    <xf numFmtId="3" fontId="4" fillId="3" borderId="13" xfId="47" applyNumberFormat="1" applyFont="1" applyFill="1" applyBorder="1" applyAlignment="1" applyProtection="1">
      <alignment horizontal="right" vertical="center"/>
    </xf>
    <xf numFmtId="0" fontId="2" fillId="0" borderId="4" xfId="47" applyBorder="1" applyAlignment="1">
      <alignment horizontal="right" vertical="center"/>
    </xf>
    <xf numFmtId="0" fontId="4" fillId="3" borderId="0" xfId="47" applyFont="1" applyFill="1" applyAlignment="1" applyProtection="1">
      <alignment horizontal="right" vertical="center"/>
    </xf>
    <xf numFmtId="0" fontId="4" fillId="0" borderId="15" xfId="47" applyFont="1" applyBorder="1" applyAlignment="1">
      <alignment horizontal="right" vertical="center"/>
    </xf>
    <xf numFmtId="0" fontId="39" fillId="12" borderId="5" xfId="43" applyFont="1" applyFill="1" applyBorder="1" applyAlignment="1" applyProtection="1">
      <alignment horizontal="center" vertical="center"/>
    </xf>
    <xf numFmtId="0" fontId="39" fillId="12" borderId="13" xfId="43" applyFont="1" applyFill="1" applyBorder="1" applyAlignment="1" applyProtection="1">
      <alignment horizontal="center" vertical="center"/>
    </xf>
    <xf numFmtId="0" fontId="2" fillId="0" borderId="4" xfId="43" applyBorder="1" applyAlignment="1" applyProtection="1">
      <alignment vertical="center"/>
    </xf>
    <xf numFmtId="0" fontId="0" fillId="0" borderId="13" xfId="0" applyBorder="1" applyAlignment="1">
      <alignment vertical="center"/>
    </xf>
    <xf numFmtId="0" fontId="0" fillId="0" borderId="4" xfId="0" applyBorder="1" applyAlignment="1">
      <alignment vertical="center"/>
    </xf>
    <xf numFmtId="172" fontId="39" fillId="12" borderId="5" xfId="0" applyNumberFormat="1" applyFont="1" applyFill="1" applyBorder="1" applyAlignment="1" applyProtection="1">
      <alignment horizontal="center"/>
    </xf>
    <xf numFmtId="0" fontId="14" fillId="0" borderId="13" xfId="0" applyFont="1" applyBorder="1" applyAlignment="1"/>
    <xf numFmtId="0" fontId="14" fillId="0" borderId="4" xfId="0" applyFont="1" applyBorder="1" applyAlignment="1"/>
    <xf numFmtId="0" fontId="39" fillId="12" borderId="5" xfId="0" applyFont="1" applyFill="1" applyBorder="1" applyAlignment="1" applyProtection="1">
      <alignment horizontal="center" vertical="center"/>
    </xf>
    <xf numFmtId="0" fontId="41" fillId="12" borderId="5" xfId="43" applyFont="1" applyFill="1" applyBorder="1" applyAlignment="1" applyProtection="1">
      <alignment horizontal="center" vertical="center"/>
    </xf>
    <xf numFmtId="0" fontId="0" fillId="0" borderId="13" xfId="0" applyBorder="1" applyAlignment="1">
      <alignment horizontal="center" vertical="center"/>
    </xf>
    <xf numFmtId="0" fontId="44" fillId="0" borderId="13" xfId="0" applyFont="1" applyBorder="1" applyAlignment="1">
      <alignment horizontal="center" vertical="center"/>
    </xf>
    <xf numFmtId="0" fontId="0" fillId="0" borderId="4" xfId="0" applyBorder="1" applyAlignment="1"/>
    <xf numFmtId="0" fontId="3" fillId="3" borderId="2" xfId="0" applyFont="1" applyFill="1" applyBorder="1" applyAlignment="1">
      <alignment horizontal="center" vertical="center"/>
    </xf>
    <xf numFmtId="0" fontId="3" fillId="3" borderId="10" xfId="0" applyFont="1" applyFill="1" applyBorder="1" applyAlignment="1">
      <alignment horizontal="center" vertical="center"/>
    </xf>
    <xf numFmtId="0" fontId="40" fillId="3" borderId="2" xfId="0" applyFont="1" applyFill="1" applyBorder="1" applyAlignment="1">
      <alignment horizontal="center" vertical="center"/>
    </xf>
    <xf numFmtId="0" fontId="40" fillId="3" borderId="10" xfId="0" applyFont="1" applyFill="1" applyBorder="1" applyAlignment="1">
      <alignment horizontal="center" vertical="center"/>
    </xf>
    <xf numFmtId="0" fontId="12" fillId="12" borderId="5" xfId="44" applyFont="1" applyFill="1" applyBorder="1" applyAlignment="1" applyProtection="1">
      <alignment horizontal="center"/>
    </xf>
    <xf numFmtId="0" fontId="0" fillId="0" borderId="13" xfId="0" applyBorder="1" applyAlignment="1">
      <alignment horizontal="center"/>
    </xf>
    <xf numFmtId="0" fontId="0" fillId="0" borderId="4" xfId="0" applyBorder="1" applyAlignment="1">
      <alignment horizontal="center"/>
    </xf>
    <xf numFmtId="0" fontId="2" fillId="0" borderId="13" xfId="44" applyBorder="1" applyAlignment="1" applyProtection="1">
      <alignment horizontal="center"/>
    </xf>
    <xf numFmtId="0" fontId="2" fillId="0" borderId="4" xfId="44" applyBorder="1" applyAlignment="1" applyProtection="1">
      <alignment horizontal="center"/>
    </xf>
    <xf numFmtId="37" fontId="4" fillId="3" borderId="0" xfId="0" applyNumberFormat="1" applyFont="1" applyFill="1" applyBorder="1" applyAlignment="1" applyProtection="1">
      <alignment horizontal="center" vertical="center"/>
    </xf>
    <xf numFmtId="49" fontId="4" fillId="12" borderId="0" xfId="0" applyNumberFormat="1" applyFont="1" applyFill="1" applyBorder="1" applyAlignment="1" applyProtection="1">
      <alignment horizontal="left" vertical="center"/>
      <protection locked="0"/>
    </xf>
    <xf numFmtId="0" fontId="0" fillId="12" borderId="0" xfId="0" applyFill="1" applyBorder="1" applyAlignment="1" applyProtection="1">
      <alignment horizontal="left" vertical="center"/>
      <protection locked="0"/>
    </xf>
    <xf numFmtId="37" fontId="4" fillId="3" borderId="13" xfId="0" applyNumberFormat="1" applyFont="1" applyFill="1" applyBorder="1" applyAlignment="1" applyProtection="1">
      <alignment horizontal="center" vertical="center"/>
    </xf>
    <xf numFmtId="37" fontId="3" fillId="3" borderId="8" xfId="0" applyNumberFormat="1" applyFont="1" applyFill="1" applyBorder="1" applyAlignment="1" applyProtection="1">
      <alignment horizontal="center" vertical="center"/>
      <protection locked="0"/>
    </xf>
    <xf numFmtId="0" fontId="29" fillId="0" borderId="8" xfId="0" applyFont="1" applyBorder="1" applyAlignment="1">
      <alignment horizontal="center" vertical="center"/>
    </xf>
    <xf numFmtId="37" fontId="4" fillId="12" borderId="0" xfId="0" applyNumberFormat="1" applyFont="1" applyFill="1" applyAlignment="1" applyProtection="1">
      <alignment horizontal="center" vertical="center"/>
    </xf>
    <xf numFmtId="0" fontId="4" fillId="3" borderId="0" xfId="0" applyFont="1" applyFill="1" applyAlignment="1">
      <alignment horizontal="right" vertical="center"/>
    </xf>
    <xf numFmtId="0" fontId="0" fillId="0" borderId="0" xfId="0" applyAlignment="1" applyProtection="1">
      <alignment vertical="center"/>
    </xf>
    <xf numFmtId="0" fontId="4" fillId="3" borderId="0" xfId="0" applyFont="1" applyFill="1" applyAlignment="1" applyProtection="1">
      <alignment horizontal="right" vertical="center"/>
    </xf>
    <xf numFmtId="0" fontId="4" fillId="0" borderId="0" xfId="0" applyFont="1" applyAlignment="1">
      <alignment horizontal="right"/>
    </xf>
    <xf numFmtId="0" fontId="4" fillId="0" borderId="0" xfId="0" applyFont="1" applyAlignment="1">
      <alignment horizontal="left" vertical="justify" wrapText="1"/>
    </xf>
    <xf numFmtId="0" fontId="4" fillId="0" borderId="0" xfId="0" applyFont="1" applyAlignment="1">
      <alignment horizontal="left" vertical="justify"/>
    </xf>
    <xf numFmtId="0" fontId="4" fillId="0" borderId="0" xfId="0" applyFont="1" applyAlignment="1">
      <alignment horizontal="center"/>
    </xf>
    <xf numFmtId="0" fontId="4" fillId="0" borderId="0" xfId="0" applyFont="1" applyAlignment="1">
      <alignment horizontal="center" wrapText="1"/>
    </xf>
    <xf numFmtId="175" fontId="35" fillId="12" borderId="0" xfId="0" applyNumberFormat="1" applyFont="1" applyFill="1" applyAlignment="1"/>
    <xf numFmtId="175" fontId="35" fillId="13" borderId="8" xfId="0" applyNumberFormat="1" applyFont="1" applyFill="1" applyBorder="1" applyAlignment="1" applyProtection="1">
      <alignment horizontal="center"/>
      <protection locked="0"/>
    </xf>
    <xf numFmtId="0" fontId="50" fillId="12" borderId="0" xfId="0" applyFont="1" applyFill="1" applyAlignment="1">
      <alignment horizontal="center" wrapText="1"/>
    </xf>
    <xf numFmtId="0" fontId="35" fillId="0" borderId="0" xfId="0" applyFont="1" applyAlignment="1">
      <alignment horizontal="center" wrapText="1"/>
    </xf>
    <xf numFmtId="0" fontId="50" fillId="12" borderId="0" xfId="0" applyFont="1" applyFill="1" applyAlignment="1">
      <alignment horizontal="center" vertical="center"/>
    </xf>
    <xf numFmtId="0" fontId="50" fillId="0" borderId="0" xfId="0" applyFont="1" applyAlignment="1">
      <alignment horizontal="center" vertical="center"/>
    </xf>
    <xf numFmtId="0" fontId="50" fillId="12" borderId="0" xfId="0" applyFont="1" applyFill="1" applyAlignment="1">
      <alignment horizontal="center"/>
    </xf>
    <xf numFmtId="0" fontId="35" fillId="12" borderId="0" xfId="0" applyFont="1" applyFill="1" applyAlignment="1">
      <alignment wrapText="1"/>
    </xf>
    <xf numFmtId="0" fontId="35" fillId="12" borderId="0" xfId="0" applyFont="1" applyFill="1" applyBorder="1" applyAlignment="1"/>
    <xf numFmtId="0" fontId="35" fillId="0" borderId="0" xfId="0" applyFont="1" applyBorder="1" applyAlignment="1"/>
    <xf numFmtId="0" fontId="35" fillId="12" borderId="0" xfId="0" applyFont="1" applyFill="1" applyBorder="1" applyAlignment="1">
      <alignment horizontal="center"/>
    </xf>
    <xf numFmtId="5" fontId="35" fillId="12" borderId="8" xfId="0" applyNumberFormat="1" applyFont="1" applyFill="1" applyBorder="1" applyAlignment="1">
      <alignment horizontal="center"/>
    </xf>
    <xf numFmtId="0" fontId="35" fillId="0" borderId="0" xfId="0" applyFont="1" applyAlignment="1">
      <alignment wrapText="1"/>
    </xf>
    <xf numFmtId="0" fontId="35" fillId="12" borderId="14" xfId="0" applyFont="1" applyFill="1" applyBorder="1" applyAlignment="1"/>
    <xf numFmtId="0" fontId="35" fillId="12" borderId="30" xfId="0" applyFont="1" applyFill="1" applyBorder="1" applyAlignment="1"/>
    <xf numFmtId="0" fontId="50" fillId="12" borderId="26" xfId="0" applyFont="1" applyFill="1" applyBorder="1" applyAlignment="1">
      <alignment horizontal="center" vertical="center"/>
    </xf>
    <xf numFmtId="175" fontId="35" fillId="12" borderId="0" xfId="0" applyNumberFormat="1" applyFont="1" applyFill="1" applyAlignment="1">
      <alignment horizontal="center"/>
    </xf>
    <xf numFmtId="175" fontId="35" fillId="13" borderId="23" xfId="0" applyNumberFormat="1" applyFont="1" applyFill="1" applyBorder="1" applyAlignment="1" applyProtection="1">
      <alignment horizontal="center"/>
      <protection locked="0"/>
    </xf>
    <xf numFmtId="0" fontId="35" fillId="0" borderId="26" xfId="0" applyFont="1" applyBorder="1" applyAlignment="1">
      <alignment horizontal="center" vertical="center"/>
    </xf>
    <xf numFmtId="0" fontId="50" fillId="12" borderId="0" xfId="0" applyFont="1" applyFill="1" applyBorder="1" applyAlignment="1">
      <alignment horizontal="center" wrapText="1"/>
    </xf>
    <xf numFmtId="0" fontId="50" fillId="0" borderId="0" xfId="0" applyFont="1" applyAlignment="1">
      <alignment horizontal="center" wrapText="1"/>
    </xf>
    <xf numFmtId="0" fontId="35" fillId="12" borderId="0" xfId="0" applyFont="1" applyFill="1" applyBorder="1" applyAlignment="1">
      <alignment wrapText="1"/>
    </xf>
    <xf numFmtId="170" fontId="35" fillId="13" borderId="8" xfId="0" applyNumberFormat="1" applyFont="1" applyFill="1" applyBorder="1" applyAlignment="1" applyProtection="1">
      <alignment horizontal="center"/>
      <protection locked="0"/>
    </xf>
    <xf numFmtId="176" fontId="35" fillId="12" borderId="0" xfId="0" applyNumberFormat="1" applyFont="1" applyFill="1" applyBorder="1" applyAlignment="1">
      <alignment horizontal="center"/>
    </xf>
    <xf numFmtId="176" fontId="35" fillId="0" borderId="28" xfId="0" applyNumberFormat="1" applyFont="1" applyBorder="1" applyAlignment="1">
      <alignment horizontal="center"/>
    </xf>
    <xf numFmtId="175" fontId="35" fillId="12" borderId="0" xfId="0" applyNumberFormat="1" applyFont="1" applyFill="1" applyBorder="1" applyAlignment="1">
      <alignment horizontal="center"/>
    </xf>
    <xf numFmtId="0" fontId="35" fillId="12" borderId="13" xfId="0" applyFont="1" applyFill="1" applyBorder="1" applyAlignment="1">
      <alignment horizontal="center"/>
    </xf>
    <xf numFmtId="0" fontId="35" fillId="12" borderId="22" xfId="0" applyFont="1" applyFill="1" applyBorder="1" applyAlignment="1">
      <alignment vertical="top" wrapText="1"/>
    </xf>
    <xf numFmtId="0" fontId="35" fillId="0" borderId="0" xfId="0" applyFont="1" applyAlignment="1">
      <alignment vertical="top" wrapText="1"/>
    </xf>
    <xf numFmtId="0" fontId="35" fillId="0" borderId="28" xfId="0" applyFont="1" applyBorder="1" applyAlignment="1">
      <alignment vertical="top" wrapText="1"/>
    </xf>
    <xf numFmtId="0" fontId="35" fillId="0" borderId="28" xfId="0" applyFont="1" applyBorder="1" applyAlignment="1">
      <alignment horizontal="center"/>
    </xf>
  </cellXfs>
  <cellStyles count="421">
    <cellStyle name="Comma" xfId="1" builtinId="3"/>
    <cellStyle name="Comma 11 2" xfId="2"/>
    <cellStyle name="Comma 16" xfId="3"/>
    <cellStyle name="Comma 16 2" xfId="4"/>
    <cellStyle name="Comma 16 3" xfId="5"/>
    <cellStyle name="Comma 2" xfId="6"/>
    <cellStyle name="Comma 2 2" xfId="7"/>
    <cellStyle name="Comma 4 2" xfId="8"/>
    <cellStyle name="Comma 7" xfId="9"/>
    <cellStyle name="Comma 7 2" xfId="10"/>
    <cellStyle name="Comma 7 3" xfId="11"/>
    <cellStyle name="Hyperlink" xfId="12" builtinId="8"/>
    <cellStyle name="Hyperlink 2 2" xfId="13"/>
    <cellStyle name="Hyperlink 3 2" xfId="14"/>
    <cellStyle name="Hyperlink 3 3" xfId="15"/>
    <cellStyle name="Hyperlink 4 2" xfId="16"/>
    <cellStyle name="Hyperlink 7" xfId="17"/>
    <cellStyle name="Hyperlink 7 2" xfId="18"/>
    <cellStyle name="Hyperlink 8" xfId="19"/>
    <cellStyle name="Hyperlink 8 2" xfId="20"/>
    <cellStyle name="Normal" xfId="0" builtinId="0"/>
    <cellStyle name="Normal 10" xfId="21"/>
    <cellStyle name="Normal 10 2" xfId="22"/>
    <cellStyle name="Normal 10 2 2" xfId="23"/>
    <cellStyle name="Normal 10 2 2 2" xfId="24"/>
    <cellStyle name="Normal 10 2 2 3" xfId="25"/>
    <cellStyle name="Normal 10 3" xfId="26"/>
    <cellStyle name="Normal 10 3 2" xfId="27"/>
    <cellStyle name="Normal 10 4" xfId="28"/>
    <cellStyle name="Normal 10 4 2" xfId="29"/>
    <cellStyle name="Normal 10 4 3" xfId="30"/>
    <cellStyle name="Normal 10 5" xfId="31"/>
    <cellStyle name="Normal 10 6" xfId="32"/>
    <cellStyle name="Normal 10 6 2" xfId="33"/>
    <cellStyle name="Normal 10 6 3" xfId="34"/>
    <cellStyle name="Normal 10 7" xfId="35"/>
    <cellStyle name="Normal 10 7 2" xfId="36"/>
    <cellStyle name="Normal 11" xfId="37"/>
    <cellStyle name="Normal 11 2" xfId="38"/>
    <cellStyle name="Normal 11 2 2" xfId="39"/>
    <cellStyle name="Normal 11 3" xfId="40"/>
    <cellStyle name="Normal 11 4" xfId="41"/>
    <cellStyle name="Normal 11 5" xfId="42"/>
    <cellStyle name="Normal 12" xfId="43"/>
    <cellStyle name="Normal 12 10" xfId="44"/>
    <cellStyle name="Normal 12 11" xfId="45"/>
    <cellStyle name="Normal 12 12" xfId="46"/>
    <cellStyle name="Normal 12 2" xfId="47"/>
    <cellStyle name="Normal 12 2 2" xfId="48"/>
    <cellStyle name="Normal 12 3" xfId="49"/>
    <cellStyle name="Normal 12 4" xfId="50"/>
    <cellStyle name="Normal 12 5" xfId="51"/>
    <cellStyle name="Normal 12 6" xfId="52"/>
    <cellStyle name="Normal 12 7" xfId="53"/>
    <cellStyle name="Normal 12 8" xfId="54"/>
    <cellStyle name="Normal 12 9" xfId="55"/>
    <cellStyle name="Normal 13" xfId="56"/>
    <cellStyle name="Normal 13 10" xfId="57"/>
    <cellStyle name="Normal 13 11" xfId="58"/>
    <cellStyle name="Normal 13 12" xfId="59"/>
    <cellStyle name="Normal 13 2" xfId="60"/>
    <cellStyle name="Normal 13 2 2" xfId="61"/>
    <cellStyle name="Normal 13 3" xfId="62"/>
    <cellStyle name="Normal 13 4" xfId="63"/>
    <cellStyle name="Normal 13 5" xfId="64"/>
    <cellStyle name="Normal 13 6" xfId="65"/>
    <cellStyle name="Normal 13 7" xfId="66"/>
    <cellStyle name="Normal 13 8" xfId="67"/>
    <cellStyle name="Normal 13 9" xfId="68"/>
    <cellStyle name="Normal 14" xfId="69"/>
    <cellStyle name="Normal 14 2" xfId="70"/>
    <cellStyle name="Normal 14 3" xfId="71"/>
    <cellStyle name="Normal 14 4" xfId="72"/>
    <cellStyle name="Normal 14 5" xfId="73"/>
    <cellStyle name="Normal 14 6" xfId="74"/>
    <cellStyle name="Normal 14 7" xfId="75"/>
    <cellStyle name="Normal 14 7 2" xfId="76"/>
    <cellStyle name="Normal 15" xfId="77"/>
    <cellStyle name="Normal 15 2" xfId="78"/>
    <cellStyle name="Normal 15 3" xfId="79"/>
    <cellStyle name="Normal 15 4" xfId="80"/>
    <cellStyle name="Normal 16" xfId="81"/>
    <cellStyle name="Normal 16 2" xfId="82"/>
    <cellStyle name="Normal 16 3" xfId="83"/>
    <cellStyle name="Normal 16 4" xfId="84"/>
    <cellStyle name="Normal 17" xfId="85"/>
    <cellStyle name="Normal 17 2" xfId="86"/>
    <cellStyle name="Normal 17 3" xfId="87"/>
    <cellStyle name="Normal 17 4" xfId="88"/>
    <cellStyle name="Normal 18" xfId="89"/>
    <cellStyle name="Normal 18 2" xfId="90"/>
    <cellStyle name="Normal 18 2 2" xfId="91"/>
    <cellStyle name="Normal 18 2 3" xfId="92"/>
    <cellStyle name="Normal 18 3" xfId="93"/>
    <cellStyle name="Normal 18 4" xfId="94"/>
    <cellStyle name="Normal 18 5" xfId="95"/>
    <cellStyle name="Normal 18 6" xfId="96"/>
    <cellStyle name="Normal 18 7" xfId="97"/>
    <cellStyle name="Normal 18 8" xfId="98"/>
    <cellStyle name="Normal 19" xfId="99"/>
    <cellStyle name="Normal 19 2" xfId="100"/>
    <cellStyle name="Normal 19 2 2" xfId="101"/>
    <cellStyle name="Normal 19 2 3" xfId="102"/>
    <cellStyle name="Normal 19 3" xfId="103"/>
    <cellStyle name="Normal 19 4" xfId="104"/>
    <cellStyle name="Normal 19 5" xfId="105"/>
    <cellStyle name="Normal 19 6" xfId="106"/>
    <cellStyle name="Normal 19 7" xfId="107"/>
    <cellStyle name="Normal 2 10" xfId="108"/>
    <cellStyle name="Normal 2 10 10" xfId="109"/>
    <cellStyle name="Normal 2 10 11" xfId="110"/>
    <cellStyle name="Normal 2 10 2" xfId="111"/>
    <cellStyle name="Normal 2 10 2 2" xfId="112"/>
    <cellStyle name="Normal 2 10 3" xfId="113"/>
    <cellStyle name="Normal 2 10 3 2" xfId="114"/>
    <cellStyle name="Normal 2 10 4" xfId="115"/>
    <cellStyle name="Normal 2 10 4 2" xfId="116"/>
    <cellStyle name="Normal 2 10 5" xfId="117"/>
    <cellStyle name="Normal 2 10 5 2" xfId="118"/>
    <cellStyle name="Normal 2 10 6" xfId="119"/>
    <cellStyle name="Normal 2 10 6 2" xfId="120"/>
    <cellStyle name="Normal 2 10 7" xfId="121"/>
    <cellStyle name="Normal 2 10 7 2" xfId="122"/>
    <cellStyle name="Normal 2 10 8" xfId="123"/>
    <cellStyle name="Normal 2 10 8 2" xfId="124"/>
    <cellStyle name="Normal 2 10 9" xfId="125"/>
    <cellStyle name="Normal 2 11" xfId="126"/>
    <cellStyle name="Normal 2 11 10" xfId="127"/>
    <cellStyle name="Normal 2 11 11" xfId="128"/>
    <cellStyle name="Normal 2 11 2" xfId="129"/>
    <cellStyle name="Normal 2 11 2 2" xfId="130"/>
    <cellStyle name="Normal 2 11 3" xfId="131"/>
    <cellStyle name="Normal 2 11 3 2" xfId="132"/>
    <cellStyle name="Normal 2 11 4" xfId="133"/>
    <cellStyle name="Normal 2 11 4 2" xfId="134"/>
    <cellStyle name="Normal 2 11 5" xfId="135"/>
    <cellStyle name="Normal 2 11 5 2" xfId="136"/>
    <cellStyle name="Normal 2 11 6" xfId="137"/>
    <cellStyle name="Normal 2 11 6 2" xfId="138"/>
    <cellStyle name="Normal 2 11 7" xfId="139"/>
    <cellStyle name="Normal 2 11 7 2" xfId="140"/>
    <cellStyle name="Normal 2 11 8" xfId="141"/>
    <cellStyle name="Normal 2 11 8 2" xfId="142"/>
    <cellStyle name="Normal 2 11 9" xfId="143"/>
    <cellStyle name="Normal 2 12" xfId="144"/>
    <cellStyle name="Normal 2 13" xfId="145"/>
    <cellStyle name="Normal 2 14" xfId="146"/>
    <cellStyle name="Normal 2 15" xfId="147"/>
    <cellStyle name="Normal 2 16" xfId="148"/>
    <cellStyle name="Normal 2 2" xfId="149"/>
    <cellStyle name="Normal 2 2 10" xfId="150"/>
    <cellStyle name="Normal 2 2 10 2" xfId="151"/>
    <cellStyle name="Normal 2 2 11" xfId="152"/>
    <cellStyle name="Normal 2 2 11 2" xfId="153"/>
    <cellStyle name="Normal 2 2 12" xfId="154"/>
    <cellStyle name="Normal 2 2 12 2" xfId="155"/>
    <cellStyle name="Normal 2 2 12 2 2" xfId="156"/>
    <cellStyle name="Normal 2 2 12 2 3" xfId="157"/>
    <cellStyle name="Normal 2 2 12 3" xfId="158"/>
    <cellStyle name="Normal 2 2 12 4" xfId="159"/>
    <cellStyle name="Normal 2 2 13" xfId="160"/>
    <cellStyle name="Normal 2 2 13 2" xfId="161"/>
    <cellStyle name="Normal 2 2 13 2 2" xfId="162"/>
    <cellStyle name="Normal 2 2 13 2 3" xfId="163"/>
    <cellStyle name="Normal 2 2 13 3" xfId="164"/>
    <cellStyle name="Normal 2 2 13 4" xfId="165"/>
    <cellStyle name="Normal 2 2 14" xfId="166"/>
    <cellStyle name="Normal 2 2 14 2" xfId="167"/>
    <cellStyle name="Normal 2 2 15" xfId="168"/>
    <cellStyle name="Normal 2 2 15 2" xfId="169"/>
    <cellStyle name="Normal 2 2 16" xfId="170"/>
    <cellStyle name="Normal 2 2 16 2" xfId="171"/>
    <cellStyle name="Normal 2 2 16 3" xfId="172"/>
    <cellStyle name="Normal 2 2 17" xfId="173"/>
    <cellStyle name="Normal 2 2 18" xfId="174"/>
    <cellStyle name="Normal 2 2 19" xfId="175"/>
    <cellStyle name="Normal 2 2 2" xfId="176"/>
    <cellStyle name="Normal 2 2 2 2" xfId="177"/>
    <cellStyle name="Normal 2 2 2 2 2" xfId="178"/>
    <cellStyle name="Normal 2 2 2 2 3" xfId="179"/>
    <cellStyle name="Normal 2 2 2 3" xfId="180"/>
    <cellStyle name="Normal 2 2 2 3 2" xfId="181"/>
    <cellStyle name="Normal 2 2 2 4" xfId="182"/>
    <cellStyle name="Normal 2 2 2 4 2" xfId="183"/>
    <cellStyle name="Normal 2 2 2 5" xfId="184"/>
    <cellStyle name="Normal 2 2 2 5 2" xfId="185"/>
    <cellStyle name="Normal 2 2 2 6" xfId="186"/>
    <cellStyle name="Normal 2 2 2 6 2" xfId="187"/>
    <cellStyle name="Normal 2 2 2 7" xfId="188"/>
    <cellStyle name="Normal 2 2 2 8" xfId="189"/>
    <cellStyle name="Normal 2 2 20" xfId="190"/>
    <cellStyle name="Normal 2 2 21" xfId="191"/>
    <cellStyle name="Normal 2 2 3" xfId="192"/>
    <cellStyle name="Normal 2 2 3 2" xfId="193"/>
    <cellStyle name="Normal 2 2 4" xfId="194"/>
    <cellStyle name="Normal 2 2 4 2" xfId="195"/>
    <cellStyle name="Normal 2 2 5" xfId="196"/>
    <cellStyle name="Normal 2 2 5 2" xfId="197"/>
    <cellStyle name="Normal 2 2 6" xfId="198"/>
    <cellStyle name="Normal 2 2 6 2" xfId="199"/>
    <cellStyle name="Normal 2 2 7" xfId="200"/>
    <cellStyle name="Normal 2 2 7 2" xfId="201"/>
    <cellStyle name="Normal 2 2 8" xfId="202"/>
    <cellStyle name="Normal 2 2 8 2" xfId="203"/>
    <cellStyle name="Normal 2 2 9" xfId="204"/>
    <cellStyle name="Normal 2 2 9 2" xfId="205"/>
    <cellStyle name="Normal 2 3" xfId="206"/>
    <cellStyle name="Normal 2 3 10" xfId="207"/>
    <cellStyle name="Normal 2 3 11" xfId="208"/>
    <cellStyle name="Normal 2 3 12" xfId="209"/>
    <cellStyle name="Normal 2 3 13" xfId="210"/>
    <cellStyle name="Normal 2 3 14" xfId="211"/>
    <cellStyle name="Normal 2 3 15" xfId="212"/>
    <cellStyle name="Normal 2 3 2" xfId="213"/>
    <cellStyle name="Normal 2 3 2 2" xfId="214"/>
    <cellStyle name="Normal 2 3 2 2 2" xfId="215"/>
    <cellStyle name="Normal 2 3 2 2 3" xfId="216"/>
    <cellStyle name="Normal 2 3 2 3" xfId="217"/>
    <cellStyle name="Normal 2 3 2 4" xfId="218"/>
    <cellStyle name="Normal 2 3 2 5" xfId="219"/>
    <cellStyle name="Normal 2 3 3" xfId="220"/>
    <cellStyle name="Normal 2 3 3 2" xfId="221"/>
    <cellStyle name="Normal 2 3 3 3" xfId="222"/>
    <cellStyle name="Normal 2 3 4" xfId="223"/>
    <cellStyle name="Normal 2 3 5" xfId="224"/>
    <cellStyle name="Normal 2 3 6" xfId="225"/>
    <cellStyle name="Normal 2 3 7" xfId="226"/>
    <cellStyle name="Normal 2 3 8" xfId="227"/>
    <cellStyle name="Normal 2 3 9" xfId="228"/>
    <cellStyle name="Normal 2 4" xfId="229"/>
    <cellStyle name="Normal 2 4 10" xfId="230"/>
    <cellStyle name="Normal 2 4 11" xfId="231"/>
    <cellStyle name="Normal 2 4 12" xfId="232"/>
    <cellStyle name="Normal 2 4 13" xfId="233"/>
    <cellStyle name="Normal 2 4 2" xfId="234"/>
    <cellStyle name="Normal 2 4 2 2" xfId="235"/>
    <cellStyle name="Normal 2 4 2 2 2" xfId="236"/>
    <cellStyle name="Normal 2 4 2 2 3" xfId="237"/>
    <cellStyle name="Normal 2 4 2 3" xfId="238"/>
    <cellStyle name="Normal 2 4 2 4" xfId="239"/>
    <cellStyle name="Normal 2 4 2 5" xfId="240"/>
    <cellStyle name="Normal 2 4 3" xfId="241"/>
    <cellStyle name="Normal 2 4 3 2" xfId="242"/>
    <cellStyle name="Normal 2 4 3 3" xfId="243"/>
    <cellStyle name="Normal 2 4 4" xfId="244"/>
    <cellStyle name="Normal 2 4 5" xfId="245"/>
    <cellStyle name="Normal 2 4 6" xfId="246"/>
    <cellStyle name="Normal 2 4 7" xfId="247"/>
    <cellStyle name="Normal 2 4 8" xfId="248"/>
    <cellStyle name="Normal 2 4 9" xfId="249"/>
    <cellStyle name="Normal 2 5" xfId="250"/>
    <cellStyle name="Normal 2 5 10" xfId="251"/>
    <cellStyle name="Normal 2 5 11" xfId="252"/>
    <cellStyle name="Normal 2 5 12" xfId="253"/>
    <cellStyle name="Normal 2 5 12 2" xfId="254"/>
    <cellStyle name="Normal 2 5 2" xfId="255"/>
    <cellStyle name="Normal 2 5 2 2" xfId="256"/>
    <cellStyle name="Normal 2 5 3" xfId="257"/>
    <cellStyle name="Normal 2 5 3 2" xfId="258"/>
    <cellStyle name="Normal 2 5 4" xfId="259"/>
    <cellStyle name="Normal 2 5 5" xfId="260"/>
    <cellStyle name="Normal 2 5 6" xfId="261"/>
    <cellStyle name="Normal 2 5 7" xfId="262"/>
    <cellStyle name="Normal 2 5 8" xfId="263"/>
    <cellStyle name="Normal 2 5 9" xfId="264"/>
    <cellStyle name="Normal 2 6" xfId="265"/>
    <cellStyle name="Normal 2 6 10" xfId="266"/>
    <cellStyle name="Normal 2 6 11" xfId="267"/>
    <cellStyle name="Normal 2 6 12" xfId="268"/>
    <cellStyle name="Normal 2 6 2" xfId="269"/>
    <cellStyle name="Normal 2 6 2 2" xfId="270"/>
    <cellStyle name="Normal 2 6 3" xfId="271"/>
    <cellStyle name="Normal 2 6 3 2" xfId="272"/>
    <cellStyle name="Normal 2 6 4" xfId="273"/>
    <cellStyle name="Normal 2 6 5" xfId="274"/>
    <cellStyle name="Normal 2 6 6" xfId="275"/>
    <cellStyle name="Normal 2 6 7" xfId="276"/>
    <cellStyle name="Normal 2 6 8" xfId="277"/>
    <cellStyle name="Normal 2 6 9" xfId="278"/>
    <cellStyle name="Normal 2 7" xfId="279"/>
    <cellStyle name="Normal 2 7 10" xfId="280"/>
    <cellStyle name="Normal 2 7 2" xfId="281"/>
    <cellStyle name="Normal 2 7 2 2" xfId="282"/>
    <cellStyle name="Normal 2 7 2 3" xfId="283"/>
    <cellStyle name="Normal 2 7 3" xfId="284"/>
    <cellStyle name="Normal 2 7 3 2" xfId="285"/>
    <cellStyle name="Normal 2 7 4" xfId="286"/>
    <cellStyle name="Normal 2 7 4 2" xfId="287"/>
    <cellStyle name="Normal 2 7 5" xfId="288"/>
    <cellStyle name="Normal 2 7 5 2" xfId="289"/>
    <cellStyle name="Normal 2 7 6" xfId="290"/>
    <cellStyle name="Normal 2 7 6 2" xfId="291"/>
    <cellStyle name="Normal 2 7 7" xfId="292"/>
    <cellStyle name="Normal 2 7 7 2" xfId="293"/>
    <cellStyle name="Normal 2 7 8" xfId="294"/>
    <cellStyle name="Normal 2 7 8 2" xfId="295"/>
    <cellStyle name="Normal 2 7 9" xfId="296"/>
    <cellStyle name="Normal 2 8" xfId="297"/>
    <cellStyle name="Normal 2 8 10" xfId="298"/>
    <cellStyle name="Normal 2 8 11" xfId="299"/>
    <cellStyle name="Normal 2 8 2" xfId="300"/>
    <cellStyle name="Normal 2 8 2 2" xfId="301"/>
    <cellStyle name="Normal 2 8 3" xfId="302"/>
    <cellStyle name="Normal 2 8 3 2" xfId="303"/>
    <cellStyle name="Normal 2 8 4" xfId="304"/>
    <cellStyle name="Normal 2 8 4 2" xfId="305"/>
    <cellStyle name="Normal 2 8 5" xfId="306"/>
    <cellStyle name="Normal 2 8 5 2" xfId="307"/>
    <cellStyle name="Normal 2 8 6" xfId="308"/>
    <cellStyle name="Normal 2 8 6 2" xfId="309"/>
    <cellStyle name="Normal 2 8 7" xfId="310"/>
    <cellStyle name="Normal 2 8 7 2" xfId="311"/>
    <cellStyle name="Normal 2 8 8" xfId="312"/>
    <cellStyle name="Normal 2 8 8 2" xfId="313"/>
    <cellStyle name="Normal 2 8 9" xfId="314"/>
    <cellStyle name="Normal 2 9" xfId="315"/>
    <cellStyle name="Normal 2 9 10" xfId="316"/>
    <cellStyle name="Normal 2 9 11" xfId="317"/>
    <cellStyle name="Normal 2 9 2" xfId="318"/>
    <cellStyle name="Normal 2 9 2 2" xfId="319"/>
    <cellStyle name="Normal 2 9 3" xfId="320"/>
    <cellStyle name="Normal 2 9 3 2" xfId="321"/>
    <cellStyle name="Normal 2 9 4" xfId="322"/>
    <cellStyle name="Normal 2 9 4 2" xfId="323"/>
    <cellStyle name="Normal 2 9 5" xfId="324"/>
    <cellStyle name="Normal 2 9 5 2" xfId="325"/>
    <cellStyle name="Normal 2 9 6" xfId="326"/>
    <cellStyle name="Normal 2 9 6 2" xfId="327"/>
    <cellStyle name="Normal 2 9 7" xfId="328"/>
    <cellStyle name="Normal 2 9 7 2" xfId="329"/>
    <cellStyle name="Normal 2 9 8" xfId="330"/>
    <cellStyle name="Normal 2 9 8 2" xfId="331"/>
    <cellStyle name="Normal 2 9 9" xfId="332"/>
    <cellStyle name="Normal 20" xfId="333"/>
    <cellStyle name="Normal 20 2" xfId="334"/>
    <cellStyle name="Normal 20 3" xfId="335"/>
    <cellStyle name="Normal 21" xfId="336"/>
    <cellStyle name="Normal 21 2" xfId="337"/>
    <cellStyle name="Normal 22" xfId="338"/>
    <cellStyle name="Normal 22 2" xfId="339"/>
    <cellStyle name="Normal 22 3" xfId="340"/>
    <cellStyle name="Normal 23" xfId="341"/>
    <cellStyle name="Normal 23 2" xfId="342"/>
    <cellStyle name="Normal 23 3" xfId="343"/>
    <cellStyle name="Normal 24" xfId="344"/>
    <cellStyle name="Normal 24 2" xfId="345"/>
    <cellStyle name="Normal 24 3" xfId="346"/>
    <cellStyle name="Normal 25" xfId="347"/>
    <cellStyle name="Normal 25 2" xfId="348"/>
    <cellStyle name="Normal 25 3" xfId="349"/>
    <cellStyle name="Normal 26" xfId="350"/>
    <cellStyle name="Normal 3" xfId="351"/>
    <cellStyle name="Normal 3 2" xfId="352"/>
    <cellStyle name="Normal 3 2 2" xfId="353"/>
    <cellStyle name="Normal 3 2 2 2" xfId="354"/>
    <cellStyle name="Normal 3 2 2 3" xfId="355"/>
    <cellStyle name="Normal 3 2 3" xfId="356"/>
    <cellStyle name="Normal 3 2 4" xfId="357"/>
    <cellStyle name="Normal 3 2 5" xfId="358"/>
    <cellStyle name="Normal 3 3" xfId="359"/>
    <cellStyle name="Normal 3 3 2" xfId="360"/>
    <cellStyle name="Normal 3 3 2 2" xfId="361"/>
    <cellStyle name="Normal 3 3 2 3" xfId="362"/>
    <cellStyle name="Normal 3 3 3" xfId="363"/>
    <cellStyle name="Normal 3 3 4" xfId="364"/>
    <cellStyle name="Normal 3 4" xfId="365"/>
    <cellStyle name="Normal 3 5" xfId="366"/>
    <cellStyle name="Normal 3 6" xfId="367"/>
    <cellStyle name="Normal 3 7" xfId="368"/>
    <cellStyle name="Normal 3 8" xfId="369"/>
    <cellStyle name="Normal 3 9" xfId="370"/>
    <cellStyle name="Normal 4" xfId="371"/>
    <cellStyle name="Normal 4 2" xfId="372"/>
    <cellStyle name="Normal 4 2 2" xfId="373"/>
    <cellStyle name="Normal 4 2 2 2" xfId="374"/>
    <cellStyle name="Normal 4 2 3" xfId="375"/>
    <cellStyle name="Normal 4 2 4" xfId="376"/>
    <cellStyle name="Normal 4 3" xfId="377"/>
    <cellStyle name="Normal 4 3 2" xfId="378"/>
    <cellStyle name="Normal 4 3 3" xfId="379"/>
    <cellStyle name="Normal 4 4" xfId="380"/>
    <cellStyle name="Normal 4 5" xfId="381"/>
    <cellStyle name="Normal 4 6" xfId="382"/>
    <cellStyle name="Normal 5 2" xfId="383"/>
    <cellStyle name="Normal 5 3" xfId="384"/>
    <cellStyle name="Normal 5 3 2" xfId="385"/>
    <cellStyle name="Normal 5 3 3" xfId="386"/>
    <cellStyle name="Normal 5 4" xfId="387"/>
    <cellStyle name="Normal 5 5" xfId="388"/>
    <cellStyle name="Normal 5 5 2" xfId="389"/>
    <cellStyle name="Normal 6" xfId="390"/>
    <cellStyle name="Normal 6 2" xfId="391"/>
    <cellStyle name="Normal 6 3" xfId="392"/>
    <cellStyle name="Normal 6 4" xfId="393"/>
    <cellStyle name="Normal 6 5" xfId="394"/>
    <cellStyle name="Normal 7 2" xfId="395"/>
    <cellStyle name="Normal 7 2 2" xfId="396"/>
    <cellStyle name="Normal 7 2 2 2" xfId="397"/>
    <cellStyle name="Normal 7 2 3" xfId="398"/>
    <cellStyle name="Normal 7 2 4" xfId="399"/>
    <cellStyle name="Normal 7 2 5" xfId="400"/>
    <cellStyle name="Normal 7 3" xfId="401"/>
    <cellStyle name="Normal 7 4" xfId="402"/>
    <cellStyle name="Normal 7 4 2" xfId="403"/>
    <cellStyle name="Normal 7 4 3" xfId="404"/>
    <cellStyle name="Normal 7 5" xfId="405"/>
    <cellStyle name="Normal 7 5 2" xfId="406"/>
    <cellStyle name="Normal 7 5 3" xfId="407"/>
    <cellStyle name="Normal 7 5 4" xfId="408"/>
    <cellStyle name="Normal 7 6" xfId="409"/>
    <cellStyle name="Normal 7 7" xfId="410"/>
    <cellStyle name="Normal 8 2" xfId="411"/>
    <cellStyle name="Normal 9" xfId="412"/>
    <cellStyle name="Normal 9 2" xfId="413"/>
    <cellStyle name="Normal 9 2 2" xfId="414"/>
    <cellStyle name="Normal 9 3" xfId="415"/>
    <cellStyle name="Normal 9 4" xfId="416"/>
    <cellStyle name="Normal 9 5" xfId="417"/>
    <cellStyle name="Normal 9 6" xfId="418"/>
    <cellStyle name="Normal_debt" xfId="419"/>
    <cellStyle name="Normal_lpform" xfId="420"/>
  </cellStyles>
  <dxfs count="300">
    <dxf>
      <fill>
        <patternFill>
          <bgColor rgb="FFFF000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ont>
        <b/>
        <i val="0"/>
        <condense val="0"/>
        <extend val="0"/>
      </font>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mailto:peter.haxton@library.ks.gov"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3.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dimension ref="A1:A106"/>
  <sheetViews>
    <sheetView topLeftCell="A100" zoomScale="80" workbookViewId="0">
      <selection activeCell="L18" sqref="L18"/>
    </sheetView>
  </sheetViews>
  <sheetFormatPr defaultColWidth="8.88671875" defaultRowHeight="15.75"/>
  <cols>
    <col min="1" max="1" width="75.77734375" style="68" customWidth="1"/>
    <col min="2" max="16384" width="8.88671875" style="68"/>
  </cols>
  <sheetData>
    <row r="1" spans="1:1">
      <c r="A1" s="67" t="s">
        <v>175</v>
      </c>
    </row>
    <row r="3" spans="1:1" ht="39.75" customHeight="1">
      <c r="A3" s="2" t="s">
        <v>981</v>
      </c>
    </row>
    <row r="4" spans="1:1">
      <c r="A4" s="69"/>
    </row>
    <row r="5" spans="1:1" ht="49.5" customHeight="1">
      <c r="A5" s="70" t="s">
        <v>176</v>
      </c>
    </row>
    <row r="6" spans="1:1">
      <c r="A6" s="70"/>
    </row>
    <row r="7" spans="1:1" ht="85.5" customHeight="1">
      <c r="A7" s="70" t="s">
        <v>931</v>
      </c>
    </row>
    <row r="8" spans="1:1">
      <c r="A8" s="70"/>
    </row>
    <row r="9" spans="1:1" ht="32.25" customHeight="1">
      <c r="A9" s="70" t="s">
        <v>136</v>
      </c>
    </row>
    <row r="11" spans="1:1" ht="51" customHeight="1">
      <c r="A11" s="70" t="s">
        <v>239</v>
      </c>
    </row>
    <row r="13" spans="1:1">
      <c r="A13" s="67" t="s">
        <v>185</v>
      </c>
    </row>
    <row r="14" spans="1:1">
      <c r="A14" s="67"/>
    </row>
    <row r="15" spans="1:1">
      <c r="A15" s="69" t="s">
        <v>186</v>
      </c>
    </row>
    <row r="17" spans="1:1" ht="43.5" customHeight="1">
      <c r="A17" s="71" t="s">
        <v>341</v>
      </c>
    </row>
    <row r="18" spans="1:1" ht="9" customHeight="1">
      <c r="A18" s="71"/>
    </row>
    <row r="20" spans="1:1">
      <c r="A20" s="67" t="s">
        <v>254</v>
      </c>
    </row>
    <row r="22" spans="1:1" ht="31.5">
      <c r="A22" s="70" t="s">
        <v>137</v>
      </c>
    </row>
    <row r="23" spans="1:1">
      <c r="A23" s="70"/>
    </row>
    <row r="24" spans="1:1">
      <c r="A24" s="72" t="s">
        <v>138</v>
      </c>
    </row>
    <row r="25" spans="1:1" ht="12" customHeight="1">
      <c r="A25" s="70"/>
    </row>
    <row r="26" spans="1:1">
      <c r="A26" s="73" t="s">
        <v>60</v>
      </c>
    </row>
    <row r="27" spans="1:1">
      <c r="A27" s="74"/>
    </row>
    <row r="28" spans="1:1" ht="84.75" customHeight="1">
      <c r="A28" s="75" t="s">
        <v>157</v>
      </c>
    </row>
    <row r="29" spans="1:1" ht="12.75" customHeight="1">
      <c r="A29" s="76"/>
    </row>
    <row r="30" spans="1:1">
      <c r="A30" s="77" t="s">
        <v>139</v>
      </c>
    </row>
    <row r="31" spans="1:1">
      <c r="A31" s="76"/>
    </row>
    <row r="32" spans="1:1">
      <c r="A32" s="78" t="s">
        <v>184</v>
      </c>
    </row>
    <row r="33" spans="1:1">
      <c r="A33" s="76"/>
    </row>
    <row r="34" spans="1:1">
      <c r="A34" s="70" t="s">
        <v>340</v>
      </c>
    </row>
    <row r="36" spans="1:1">
      <c r="A36" s="67" t="s">
        <v>0</v>
      </c>
    </row>
    <row r="38" spans="1:1" ht="66.75" customHeight="1">
      <c r="A38" s="70" t="s">
        <v>754</v>
      </c>
    </row>
    <row r="39" spans="1:1" ht="35.25" customHeight="1">
      <c r="A39" s="70" t="s">
        <v>78</v>
      </c>
    </row>
    <row r="40" spans="1:1" ht="41.25" customHeight="1">
      <c r="A40" s="70" t="s">
        <v>246</v>
      </c>
    </row>
    <row r="41" spans="1:1" ht="53.25" customHeight="1">
      <c r="A41" s="79" t="s">
        <v>247</v>
      </c>
    </row>
    <row r="43" spans="1:1" ht="84" customHeight="1">
      <c r="A43" s="70" t="s">
        <v>755</v>
      </c>
    </row>
    <row r="44" spans="1:1" ht="53.25" customHeight="1">
      <c r="A44" s="70" t="s">
        <v>140</v>
      </c>
    </row>
    <row r="45" spans="1:1" ht="98.25" customHeight="1">
      <c r="A45" s="70" t="s">
        <v>240</v>
      </c>
    </row>
    <row r="46" spans="1:1" ht="15.75" customHeight="1">
      <c r="A46" s="70"/>
    </row>
    <row r="47" spans="1:1" ht="75.75" customHeight="1">
      <c r="A47" s="767" t="s">
        <v>932</v>
      </c>
    </row>
    <row r="48" spans="1:1" ht="68.25" customHeight="1">
      <c r="A48" s="424" t="s">
        <v>628</v>
      </c>
    </row>
    <row r="49" spans="1:1" ht="68.25" customHeight="1">
      <c r="A49" s="768" t="s">
        <v>933</v>
      </c>
    </row>
    <row r="50" spans="1:1" ht="13.5" customHeight="1">
      <c r="A50"/>
    </row>
    <row r="51" spans="1:1" ht="70.5" customHeight="1">
      <c r="A51" s="70" t="s">
        <v>629</v>
      </c>
    </row>
    <row r="52" spans="1:1" ht="39.75" customHeight="1">
      <c r="A52" s="70" t="s">
        <v>630</v>
      </c>
    </row>
    <row r="53" spans="1:1" ht="84.75" customHeight="1">
      <c r="A53" s="70" t="s">
        <v>631</v>
      </c>
    </row>
    <row r="54" spans="1:1" ht="29.25" customHeight="1">
      <c r="A54" s="551" t="s">
        <v>756</v>
      </c>
    </row>
    <row r="55" spans="1:1" ht="102" customHeight="1">
      <c r="A55" s="551" t="s">
        <v>968</v>
      </c>
    </row>
    <row r="56" spans="1:1" ht="13.5" customHeight="1">
      <c r="A56" s="70"/>
    </row>
    <row r="57" spans="1:1" ht="75" customHeight="1">
      <c r="A57" s="70" t="s">
        <v>934</v>
      </c>
    </row>
    <row r="58" spans="1:1" ht="117" customHeight="1">
      <c r="A58" s="70" t="s">
        <v>632</v>
      </c>
    </row>
    <row r="59" spans="1:1" ht="57.75" customHeight="1">
      <c r="A59" s="70" t="s">
        <v>633</v>
      </c>
    </row>
    <row r="60" spans="1:1" ht="8.25" customHeight="1">
      <c r="A60" s="70"/>
    </row>
    <row r="61" spans="1:1" ht="73.5" customHeight="1">
      <c r="A61" s="769" t="s">
        <v>935</v>
      </c>
    </row>
    <row r="62" spans="1:1" ht="15.75" customHeight="1">
      <c r="A62"/>
    </row>
    <row r="63" spans="1:1" ht="78.75" customHeight="1">
      <c r="A63" s="70" t="s">
        <v>634</v>
      </c>
    </row>
    <row r="64" spans="1:1" ht="36" customHeight="1">
      <c r="A64" s="70" t="s">
        <v>641</v>
      </c>
    </row>
    <row r="65" spans="1:1" ht="86.25" customHeight="1">
      <c r="A65" s="70" t="s">
        <v>642</v>
      </c>
    </row>
    <row r="66" spans="1:1" s="70" customFormat="1" ht="32.25" customHeight="1">
      <c r="A66" s="423" t="s">
        <v>643</v>
      </c>
    </row>
    <row r="67" spans="1:1" ht="6" customHeight="1">
      <c r="A67"/>
    </row>
    <row r="68" spans="1:1" ht="67.5" customHeight="1">
      <c r="A68" s="70" t="s">
        <v>635</v>
      </c>
    </row>
    <row r="69" spans="1:1" ht="7.5" customHeight="1"/>
    <row r="70" spans="1:1" ht="79.5" customHeight="1">
      <c r="A70" s="70" t="s">
        <v>636</v>
      </c>
    </row>
    <row r="71" spans="1:1" ht="14.25" customHeight="1">
      <c r="A71"/>
    </row>
    <row r="72" spans="1:1" ht="159.75" customHeight="1">
      <c r="A72" s="769" t="s">
        <v>936</v>
      </c>
    </row>
    <row r="73" spans="1:1" ht="105" customHeight="1">
      <c r="A73" s="70" t="s">
        <v>937</v>
      </c>
    </row>
    <row r="74" spans="1:1" ht="80.25" customHeight="1">
      <c r="A74" s="769" t="s">
        <v>938</v>
      </c>
    </row>
    <row r="75" spans="1:1" ht="100.5" customHeight="1">
      <c r="A75" s="770" t="s">
        <v>939</v>
      </c>
    </row>
    <row r="76" spans="1:1" ht="90" customHeight="1">
      <c r="A76" s="770" t="s">
        <v>940</v>
      </c>
    </row>
    <row r="77" spans="1:1" ht="99.75" customHeight="1">
      <c r="A77" s="770" t="s">
        <v>941</v>
      </c>
    </row>
    <row r="78" spans="1:1" ht="135" customHeight="1">
      <c r="A78" s="70" t="s">
        <v>942</v>
      </c>
    </row>
    <row r="79" spans="1:1" ht="106.5" customHeight="1">
      <c r="A79" s="769" t="s">
        <v>943</v>
      </c>
    </row>
    <row r="80" spans="1:1" ht="140.25" customHeight="1">
      <c r="A80" s="70" t="s">
        <v>944</v>
      </c>
    </row>
    <row r="81" spans="1:1" ht="133.5" customHeight="1">
      <c r="A81" s="70" t="s">
        <v>945</v>
      </c>
    </row>
    <row r="82" spans="1:1" ht="70.5" customHeight="1">
      <c r="A82" s="70" t="s">
        <v>946</v>
      </c>
    </row>
    <row r="83" spans="1:1" ht="110.25" customHeight="1">
      <c r="A83" s="70" t="s">
        <v>947</v>
      </c>
    </row>
    <row r="84" spans="1:1" ht="60" customHeight="1">
      <c r="A84" s="70" t="s">
        <v>948</v>
      </c>
    </row>
    <row r="85" spans="1:1" ht="105.75" customHeight="1">
      <c r="A85" s="70" t="s">
        <v>949</v>
      </c>
    </row>
    <row r="86" spans="1:1" ht="114.75" customHeight="1">
      <c r="A86" s="552" t="s">
        <v>950</v>
      </c>
    </row>
    <row r="87" spans="1:1" ht="126.75" customHeight="1">
      <c r="A87" s="553" t="s">
        <v>951</v>
      </c>
    </row>
    <row r="88" spans="1:1" ht="64.5" customHeight="1">
      <c r="A88" s="554" t="s">
        <v>952</v>
      </c>
    </row>
    <row r="89" spans="1:1" ht="85.5" customHeight="1">
      <c r="A89" s="769" t="s">
        <v>953</v>
      </c>
    </row>
    <row r="90" spans="1:1" ht="63" customHeight="1">
      <c r="A90" s="771" t="s">
        <v>637</v>
      </c>
    </row>
    <row r="91" spans="1:1" ht="41.25" customHeight="1">
      <c r="A91" s="770" t="s">
        <v>954</v>
      </c>
    </row>
    <row r="92" spans="1:1" ht="129.75" customHeight="1">
      <c r="A92" s="770" t="s">
        <v>955</v>
      </c>
    </row>
    <row r="93" spans="1:1" ht="99" customHeight="1">
      <c r="A93" s="770" t="s">
        <v>956</v>
      </c>
    </row>
    <row r="94" spans="1:1" ht="92.25" customHeight="1">
      <c r="A94" s="772" t="s">
        <v>957</v>
      </c>
    </row>
    <row r="95" spans="1:1" ht="117.75" customHeight="1">
      <c r="A95" s="773" t="s">
        <v>958</v>
      </c>
    </row>
    <row r="96" spans="1:1" ht="23.25" customHeight="1"/>
    <row r="97" spans="1:1" ht="156" customHeight="1">
      <c r="A97" s="70" t="s">
        <v>959</v>
      </c>
    </row>
    <row r="98" spans="1:1" ht="136.5" customHeight="1">
      <c r="A98" s="70" t="s">
        <v>960</v>
      </c>
    </row>
    <row r="99" spans="1:1" ht="69.75" customHeight="1">
      <c r="A99" s="70" t="s">
        <v>961</v>
      </c>
    </row>
    <row r="100" spans="1:1" ht="41.25" customHeight="1">
      <c r="A100" s="70" t="s">
        <v>962</v>
      </c>
    </row>
    <row r="101" spans="1:1" ht="12.75" customHeight="1"/>
    <row r="102" spans="1:1" ht="80.25" customHeight="1">
      <c r="A102" s="769" t="s">
        <v>963</v>
      </c>
    </row>
    <row r="103" spans="1:1" ht="15.75" customHeight="1">
      <c r="A103" s="774"/>
    </row>
    <row r="104" spans="1:1" ht="75.75" customHeight="1">
      <c r="A104" s="770" t="s">
        <v>964</v>
      </c>
    </row>
    <row r="105" spans="1:1" ht="123" customHeight="1">
      <c r="A105" s="770" t="s">
        <v>965</v>
      </c>
    </row>
    <row r="106" spans="1:1" ht="118.5" customHeight="1">
      <c r="A106" s="770" t="s">
        <v>966</v>
      </c>
    </row>
  </sheetData>
  <sheetProtection sheet="1"/>
  <phoneticPr fontId="0" type="noConversion"/>
  <pageMargins left="0.5" right="0.5" top="0.5" bottom="0.5" header="0.5" footer="0"/>
  <pageSetup scale="90" fitToHeight="2" orientation="portrait" blackAndWhite="1" horizontalDpi="300" verticalDpi="300"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H125"/>
  <sheetViews>
    <sheetView topLeftCell="A86" workbookViewId="0">
      <selection activeCell="B52" sqref="B52"/>
    </sheetView>
  </sheetViews>
  <sheetFormatPr defaultColWidth="8.88671875" defaultRowHeight="15.75"/>
  <cols>
    <col min="1" max="1" width="15.77734375" style="80" customWidth="1"/>
    <col min="2" max="2" width="20.77734375" style="80" customWidth="1"/>
    <col min="3" max="3" width="9.77734375" style="80" customWidth="1"/>
    <col min="4" max="4" width="15.109375" style="80" customWidth="1"/>
    <col min="5" max="5" width="15.77734375" style="80" customWidth="1"/>
    <col min="6" max="6" width="1.88671875" style="80" customWidth="1"/>
    <col min="7" max="7" width="18.6640625" style="80" customWidth="1"/>
    <col min="8" max="16384" width="8.88671875" style="80"/>
  </cols>
  <sheetData>
    <row r="1" spans="1:8">
      <c r="A1" s="844" t="s">
        <v>177</v>
      </c>
      <c r="B1" s="845"/>
      <c r="C1" s="845"/>
      <c r="D1" s="845"/>
      <c r="E1" s="845"/>
    </row>
    <row r="2" spans="1:8">
      <c r="A2" s="81"/>
      <c r="B2" s="82"/>
      <c r="C2" s="82"/>
      <c r="D2" s="82"/>
      <c r="E2" s="82"/>
    </row>
    <row r="3" spans="1:8">
      <c r="A3" s="83" t="s">
        <v>160</v>
      </c>
      <c r="B3" s="84"/>
      <c r="C3" s="84"/>
      <c r="D3" s="85" t="s">
        <v>986</v>
      </c>
      <c r="E3" s="86"/>
    </row>
    <row r="4" spans="1:8">
      <c r="A4" s="83" t="s">
        <v>188</v>
      </c>
      <c r="B4" s="84"/>
      <c r="C4" s="84"/>
      <c r="D4" s="87" t="s">
        <v>987</v>
      </c>
      <c r="E4" s="88"/>
    </row>
    <row r="5" spans="1:8">
      <c r="A5" s="81" t="s">
        <v>164</v>
      </c>
      <c r="B5" s="89"/>
      <c r="C5" s="84"/>
      <c r="D5" s="90"/>
      <c r="E5" s="84"/>
    </row>
    <row r="6" spans="1:8">
      <c r="A6" s="83" t="s">
        <v>161</v>
      </c>
      <c r="B6" s="84"/>
      <c r="C6" s="84"/>
      <c r="D6" s="85" t="s">
        <v>984</v>
      </c>
      <c r="E6" s="86"/>
    </row>
    <row r="7" spans="1:8">
      <c r="A7" s="83" t="s">
        <v>162</v>
      </c>
      <c r="B7" s="84"/>
      <c r="C7" s="84"/>
      <c r="D7" s="87" t="s">
        <v>985</v>
      </c>
      <c r="E7" s="88"/>
    </row>
    <row r="8" spans="1:8">
      <c r="A8" s="83" t="s">
        <v>163</v>
      </c>
      <c r="B8" s="84"/>
      <c r="C8" s="84"/>
      <c r="D8" s="87" t="s">
        <v>260</v>
      </c>
      <c r="E8" s="88"/>
    </row>
    <row r="9" spans="1:8">
      <c r="A9" s="91"/>
      <c r="B9" s="84"/>
      <c r="C9" s="84"/>
      <c r="D9" s="90"/>
      <c r="E9" s="84"/>
    </row>
    <row r="10" spans="1:8">
      <c r="A10" s="83" t="s">
        <v>91</v>
      </c>
      <c r="B10" s="84"/>
      <c r="C10" s="92">
        <v>2014</v>
      </c>
      <c r="D10" s="90"/>
      <c r="E10" s="84"/>
    </row>
    <row r="11" spans="1:8">
      <c r="A11" s="84"/>
      <c r="B11" s="84"/>
      <c r="C11" s="84"/>
      <c r="D11" s="84"/>
      <c r="E11" s="84"/>
    </row>
    <row r="12" spans="1:8">
      <c r="A12" s="93" t="s">
        <v>348</v>
      </c>
      <c r="B12" s="94"/>
      <c r="C12" s="94"/>
      <c r="D12" s="94"/>
      <c r="E12" s="94"/>
    </row>
    <row r="13" spans="1:8">
      <c r="A13" s="93" t="s">
        <v>347</v>
      </c>
      <c r="B13" s="94"/>
      <c r="C13" s="94"/>
      <c r="D13" s="94"/>
      <c r="E13" s="94"/>
      <c r="F13" s="761"/>
      <c r="G13" s="846" t="s">
        <v>893</v>
      </c>
      <c r="H13" s="847"/>
    </row>
    <row r="14" spans="1:8">
      <c r="A14" s="93"/>
      <c r="B14" s="94"/>
      <c r="C14" s="94"/>
      <c r="D14" s="94"/>
      <c r="E14" s="94"/>
      <c r="F14" s="761"/>
      <c r="G14" s="848"/>
      <c r="H14" s="847"/>
    </row>
    <row r="15" spans="1:8">
      <c r="A15" s="842" t="s">
        <v>146</v>
      </c>
      <c r="B15" s="843"/>
      <c r="C15" s="843"/>
      <c r="D15" s="843"/>
      <c r="E15" s="843"/>
      <c r="F15" s="761"/>
      <c r="G15" s="848"/>
      <c r="H15" s="847"/>
    </row>
    <row r="16" spans="1:8">
      <c r="A16" s="84"/>
      <c r="B16" s="84"/>
      <c r="C16" s="84"/>
      <c r="D16" s="84"/>
      <c r="E16" s="84"/>
      <c r="F16" s="761"/>
      <c r="G16" s="848"/>
      <c r="H16" s="847"/>
    </row>
    <row r="17" spans="1:8">
      <c r="A17" s="95" t="s">
        <v>147</v>
      </c>
      <c r="B17" s="96"/>
      <c r="C17" s="84"/>
      <c r="D17" s="84"/>
      <c r="E17" s="84"/>
      <c r="F17" s="761"/>
      <c r="G17" s="848"/>
      <c r="H17" s="847"/>
    </row>
    <row r="18" spans="1:8">
      <c r="A18" s="97" t="str">
        <f>CONCATENATE("the ",C10-1," Budget, Certificate Page:")</f>
        <v>the 2013 Budget, Certificate Page:</v>
      </c>
      <c r="B18" s="98"/>
      <c r="C18" s="84"/>
      <c r="D18" s="84"/>
      <c r="E18" s="113"/>
      <c r="F18" s="761"/>
      <c r="G18" s="848"/>
      <c r="H18" s="847"/>
    </row>
    <row r="19" spans="1:8">
      <c r="A19" s="97" t="s">
        <v>350</v>
      </c>
      <c r="B19" s="98"/>
      <c r="C19" s="84"/>
      <c r="D19" s="84"/>
      <c r="E19" s="113"/>
      <c r="F19" s="761"/>
      <c r="G19" s="761"/>
      <c r="H19" s="84"/>
    </row>
    <row r="20" spans="1:8">
      <c r="A20" s="84"/>
      <c r="B20" s="84"/>
      <c r="C20" s="84"/>
      <c r="D20" s="100">
        <f>C10-1</f>
        <v>2013</v>
      </c>
      <c r="E20" s="101">
        <f>C10-2</f>
        <v>2012</v>
      </c>
      <c r="G20" s="762" t="s">
        <v>894</v>
      </c>
      <c r="H20" s="215" t="s">
        <v>297</v>
      </c>
    </row>
    <row r="21" spans="1:8">
      <c r="A21" s="91" t="s">
        <v>255</v>
      </c>
      <c r="B21" s="84"/>
      <c r="C21" s="102" t="s">
        <v>256</v>
      </c>
      <c r="D21" s="103" t="s">
        <v>349</v>
      </c>
      <c r="E21" s="103" t="s">
        <v>194</v>
      </c>
      <c r="G21" s="763" t="str">
        <f>CONCATENATE("",E20," Ad Valorem Tax")</f>
        <v>2012 Ad Valorem Tax</v>
      </c>
      <c r="H21" s="764">
        <v>0</v>
      </c>
    </row>
    <row r="22" spans="1:8">
      <c r="A22" s="84"/>
      <c r="B22" s="104" t="s">
        <v>257</v>
      </c>
      <c r="C22" s="215" t="s">
        <v>61</v>
      </c>
      <c r="D22" s="106">
        <v>7264267</v>
      </c>
      <c r="E22" s="106">
        <v>1226709</v>
      </c>
      <c r="G22" s="765">
        <f>IF(H21&gt;0,ROUND(E22-(E22*H$21),0),0)</f>
        <v>0</v>
      </c>
    </row>
    <row r="23" spans="1:8">
      <c r="A23" s="84"/>
      <c r="B23" s="104" t="s">
        <v>217</v>
      </c>
      <c r="C23" s="215" t="s">
        <v>92</v>
      </c>
      <c r="D23" s="106">
        <v>3576632</v>
      </c>
      <c r="E23" s="106">
        <v>471744</v>
      </c>
      <c r="G23" s="765">
        <f>IF(H21&gt;0,ROUND(E23-(E23*H21),0),0)</f>
        <v>0</v>
      </c>
    </row>
    <row r="24" spans="1:8">
      <c r="A24" s="84"/>
      <c r="B24" s="104" t="s">
        <v>867</v>
      </c>
      <c r="C24" s="215" t="s">
        <v>866</v>
      </c>
      <c r="D24" s="106">
        <f>353748+9583</f>
        <v>363331</v>
      </c>
      <c r="E24" s="106">
        <v>327283</v>
      </c>
      <c r="G24" s="765">
        <f>IF(H$21&gt;0,ROUND(E24-(E24*H$21),0),0)</f>
        <v>0</v>
      </c>
    </row>
    <row r="25" spans="1:8">
      <c r="A25" s="91" t="s">
        <v>258</v>
      </c>
      <c r="B25" s="84"/>
      <c r="C25" s="84"/>
      <c r="D25" s="84"/>
      <c r="E25" s="107"/>
    </row>
    <row r="26" spans="1:8">
      <c r="A26" s="109" t="str">
        <f>CONCATENATE("Total Tax Levy Funds for ",C10-1," Budgeted Year")</f>
        <v>Total Tax Levy Funds for 2013 Budgeted Year</v>
      </c>
      <c r="B26" s="99"/>
      <c r="C26" s="99"/>
      <c r="D26" s="110"/>
      <c r="E26" s="111">
        <f>SUM(E22:E25)</f>
        <v>2025736</v>
      </c>
      <c r="F26" s="80" t="s">
        <v>272</v>
      </c>
      <c r="G26" s="810" t="s">
        <v>1107</v>
      </c>
    </row>
    <row r="27" spans="1:8">
      <c r="A27" s="112"/>
      <c r="B27" s="113"/>
      <c r="C27" s="113"/>
      <c r="D27" s="114"/>
      <c r="E27" s="107"/>
      <c r="G27" s="811" t="s">
        <v>260</v>
      </c>
    </row>
    <row r="28" spans="1:8">
      <c r="A28" s="91" t="s">
        <v>97</v>
      </c>
      <c r="B28" s="84"/>
      <c r="C28" s="84"/>
      <c r="D28" s="84"/>
      <c r="E28" s="84"/>
    </row>
    <row r="29" spans="1:8">
      <c r="A29" s="84"/>
      <c r="B29" s="105" t="s">
        <v>988</v>
      </c>
      <c r="C29" s="84"/>
      <c r="D29" s="115">
        <v>1252821</v>
      </c>
      <c r="E29" s="84"/>
    </row>
    <row r="30" spans="1:8">
      <c r="A30" s="84"/>
      <c r="B30" s="108" t="s">
        <v>989</v>
      </c>
      <c r="C30" s="84"/>
      <c r="D30" s="106">
        <v>0</v>
      </c>
      <c r="E30" s="84"/>
    </row>
    <row r="31" spans="1:8">
      <c r="A31" s="84"/>
      <c r="B31" s="108" t="s">
        <v>990</v>
      </c>
      <c r="C31" s="84"/>
      <c r="D31" s="106">
        <v>80196</v>
      </c>
      <c r="E31" s="84"/>
    </row>
    <row r="32" spans="1:8">
      <c r="A32" s="84"/>
      <c r="B32" s="108" t="s">
        <v>991</v>
      </c>
      <c r="C32" s="84"/>
      <c r="D32" s="106">
        <v>79325</v>
      </c>
      <c r="E32" s="84"/>
    </row>
    <row r="33" spans="1:6">
      <c r="A33" s="84"/>
      <c r="B33" s="108" t="s">
        <v>992</v>
      </c>
      <c r="C33" s="84"/>
      <c r="D33" s="106">
        <v>11417</v>
      </c>
      <c r="E33" s="84"/>
    </row>
    <row r="34" spans="1:6">
      <c r="A34" s="84"/>
      <c r="B34" s="108" t="s">
        <v>993</v>
      </c>
      <c r="C34" s="84"/>
      <c r="D34" s="106">
        <v>714118</v>
      </c>
      <c r="E34" s="84"/>
    </row>
    <row r="35" spans="1:6">
      <c r="A35" s="84"/>
      <c r="B35" s="108" t="s">
        <v>994</v>
      </c>
      <c r="C35" s="84"/>
      <c r="D35" s="106">
        <v>554947</v>
      </c>
      <c r="E35" s="84"/>
    </row>
    <row r="36" spans="1:6">
      <c r="A36" s="84"/>
      <c r="B36" s="108" t="s">
        <v>995</v>
      </c>
      <c r="C36" s="84"/>
      <c r="D36" s="106">
        <v>436530</v>
      </c>
      <c r="E36" s="84"/>
    </row>
    <row r="37" spans="1:6">
      <c r="A37" s="84"/>
      <c r="B37" s="108" t="s">
        <v>996</v>
      </c>
      <c r="C37" s="84"/>
      <c r="D37" s="106">
        <v>0</v>
      </c>
      <c r="E37" s="84"/>
    </row>
    <row r="38" spans="1:6">
      <c r="A38" s="84"/>
      <c r="B38" s="108" t="s">
        <v>997</v>
      </c>
      <c r="C38" s="84"/>
      <c r="D38" s="106">
        <v>143695</v>
      </c>
      <c r="E38" s="84" t="s">
        <v>1108</v>
      </c>
      <c r="F38" s="80" t="s">
        <v>272</v>
      </c>
    </row>
    <row r="39" spans="1:6">
      <c r="A39" s="84"/>
      <c r="B39" s="116" t="s">
        <v>998</v>
      </c>
      <c r="C39" s="84"/>
      <c r="D39" s="106">
        <v>134289</v>
      </c>
      <c r="E39" s="84"/>
    </row>
    <row r="40" spans="1:6">
      <c r="A40" s="84"/>
      <c r="B40" s="116" t="s">
        <v>999</v>
      </c>
      <c r="C40" s="84"/>
      <c r="D40" s="106">
        <v>47450</v>
      </c>
      <c r="E40" s="84"/>
    </row>
    <row r="41" spans="1:6">
      <c r="A41" s="84"/>
      <c r="B41" s="116" t="s">
        <v>1000</v>
      </c>
      <c r="C41" s="84"/>
      <c r="D41" s="106">
        <v>34383</v>
      </c>
      <c r="E41" s="84"/>
    </row>
    <row r="42" spans="1:6">
      <c r="A42" s="84"/>
      <c r="B42" s="116" t="s">
        <v>1001</v>
      </c>
      <c r="C42" s="84"/>
      <c r="D42" s="106">
        <v>11810</v>
      </c>
      <c r="E42" s="84" t="s">
        <v>1108</v>
      </c>
      <c r="F42" s="80" t="s">
        <v>272</v>
      </c>
    </row>
    <row r="43" spans="1:6">
      <c r="A43" s="84"/>
      <c r="B43" s="116" t="s">
        <v>1002</v>
      </c>
      <c r="C43" s="84"/>
      <c r="D43" s="106">
        <v>105400</v>
      </c>
      <c r="E43" s="84" t="s">
        <v>1108</v>
      </c>
      <c r="F43" s="80" t="s">
        <v>272</v>
      </c>
    </row>
    <row r="44" spans="1:6">
      <c r="A44" s="84"/>
      <c r="B44" s="116" t="s">
        <v>1003</v>
      </c>
      <c r="C44" s="84"/>
      <c r="D44" s="106">
        <v>578912</v>
      </c>
      <c r="E44" s="84" t="s">
        <v>1108</v>
      </c>
      <c r="F44" s="80" t="s">
        <v>272</v>
      </c>
    </row>
    <row r="45" spans="1:6">
      <c r="A45" s="84"/>
      <c r="B45" s="116" t="s">
        <v>1004</v>
      </c>
      <c r="C45" s="84"/>
      <c r="D45" s="106">
        <v>42270</v>
      </c>
      <c r="E45" s="84"/>
    </row>
    <row r="46" spans="1:6">
      <c r="A46" s="84"/>
      <c r="B46" s="116" t="s">
        <v>1005</v>
      </c>
      <c r="C46" s="84"/>
      <c r="D46" s="106">
        <v>245645</v>
      </c>
      <c r="E46" s="84"/>
    </row>
    <row r="47" spans="1:6">
      <c r="A47" s="84"/>
      <c r="B47" s="116" t="s">
        <v>1006</v>
      </c>
      <c r="C47" s="84"/>
      <c r="D47" s="106">
        <v>95389</v>
      </c>
      <c r="E47" s="84" t="s">
        <v>260</v>
      </c>
    </row>
    <row r="48" spans="1:6">
      <c r="A48" s="84"/>
      <c r="B48" s="116" t="s">
        <v>1007</v>
      </c>
      <c r="C48" s="84"/>
      <c r="D48" s="106">
        <v>0</v>
      </c>
      <c r="E48" s="84"/>
    </row>
    <row r="49" spans="1:6">
      <c r="A49" s="84"/>
      <c r="B49" s="116" t="s">
        <v>1008</v>
      </c>
      <c r="C49" s="84"/>
      <c r="D49" s="106">
        <v>140000</v>
      </c>
      <c r="E49" s="84"/>
    </row>
    <row r="50" spans="1:6">
      <c r="A50" s="84"/>
      <c r="B50" s="116" t="s">
        <v>1009</v>
      </c>
      <c r="C50" s="84"/>
      <c r="D50" s="106">
        <v>11190</v>
      </c>
      <c r="E50" s="84" t="s">
        <v>1108</v>
      </c>
      <c r="F50" s="80" t="s">
        <v>272</v>
      </c>
    </row>
    <row r="51" spans="1:6">
      <c r="A51" s="84"/>
      <c r="B51" s="80" t="s">
        <v>1010</v>
      </c>
      <c r="C51" s="84"/>
      <c r="D51" s="106">
        <v>100000</v>
      </c>
      <c r="E51" s="84"/>
    </row>
    <row r="52" spans="1:6">
      <c r="A52" s="84"/>
      <c r="B52" s="116" t="s">
        <v>1011</v>
      </c>
      <c r="C52" s="84"/>
      <c r="D52" s="106">
        <v>33000</v>
      </c>
      <c r="E52" s="84"/>
    </row>
    <row r="53" spans="1:6">
      <c r="A53" s="84"/>
      <c r="B53" s="116" t="s">
        <v>1012</v>
      </c>
      <c r="C53" s="84"/>
      <c r="D53" s="106">
        <v>338184</v>
      </c>
      <c r="E53" s="84"/>
    </row>
    <row r="54" spans="1:6">
      <c r="A54" s="84"/>
      <c r="B54" s="116" t="s">
        <v>1013</v>
      </c>
      <c r="C54" s="84"/>
      <c r="D54" s="106">
        <v>110293</v>
      </c>
      <c r="E54" s="84"/>
    </row>
    <row r="55" spans="1:6">
      <c r="A55" s="84"/>
      <c r="B55" s="116" t="s">
        <v>1014</v>
      </c>
      <c r="C55" s="84"/>
      <c r="D55" s="106">
        <v>1481719</v>
      </c>
      <c r="E55" s="84"/>
    </row>
    <row r="56" spans="1:6">
      <c r="A56" s="84"/>
      <c r="B56" s="116" t="s">
        <v>1015</v>
      </c>
      <c r="C56" s="84"/>
      <c r="D56" s="106">
        <v>1860601</v>
      </c>
      <c r="E56" s="84" t="s">
        <v>1108</v>
      </c>
      <c r="F56" s="80" t="s">
        <v>272</v>
      </c>
    </row>
    <row r="57" spans="1:6">
      <c r="A57" s="84"/>
      <c r="B57" s="116" t="s">
        <v>1016</v>
      </c>
      <c r="C57" s="84"/>
      <c r="D57" s="106">
        <v>0</v>
      </c>
      <c r="E57" s="84"/>
    </row>
    <row r="58" spans="1:6">
      <c r="A58" s="84"/>
      <c r="B58" s="116"/>
      <c r="C58" s="84"/>
      <c r="D58" s="106"/>
      <c r="E58" s="84"/>
    </row>
    <row r="59" spans="1:6">
      <c r="A59" s="84" t="s">
        <v>120</v>
      </c>
      <c r="B59" s="117"/>
      <c r="C59" s="84"/>
      <c r="D59" s="84"/>
      <c r="E59" s="84"/>
    </row>
    <row r="60" spans="1:6">
      <c r="A60" s="84">
        <v>1</v>
      </c>
      <c r="B60" s="116"/>
      <c r="C60" s="84"/>
      <c r="D60" s="106"/>
      <c r="E60" s="84"/>
    </row>
    <row r="61" spans="1:6">
      <c r="A61" s="84">
        <v>2</v>
      </c>
      <c r="B61" s="116"/>
      <c r="C61" s="84"/>
      <c r="D61" s="106"/>
      <c r="E61" s="84"/>
    </row>
    <row r="62" spans="1:6">
      <c r="A62" s="84">
        <v>3</v>
      </c>
      <c r="B62" s="116"/>
      <c r="C62" s="84"/>
      <c r="D62" s="106"/>
      <c r="E62" s="84"/>
    </row>
    <row r="63" spans="1:6">
      <c r="A63" s="84">
        <v>4</v>
      </c>
      <c r="B63" s="116"/>
      <c r="C63" s="84"/>
      <c r="D63" s="106"/>
      <c r="E63" s="84"/>
    </row>
    <row r="64" spans="1:6">
      <c r="A64" s="109" t="str">
        <f>CONCATENATE("Total Expenditures for ",C16-1," Budgeted Year")</f>
        <v>Total Expenditures for -1 Budgeted Year</v>
      </c>
      <c r="B64" s="118"/>
      <c r="C64" s="99"/>
      <c r="D64" s="119">
        <f>SUM(D22:D57)</f>
        <v>19847814</v>
      </c>
      <c r="E64" s="84"/>
    </row>
    <row r="65" spans="1:5">
      <c r="A65" s="84" t="s">
        <v>121</v>
      </c>
      <c r="B65" s="117"/>
      <c r="C65" s="84"/>
      <c r="D65" s="84"/>
      <c r="E65" s="84"/>
    </row>
    <row r="66" spans="1:5">
      <c r="A66" s="84">
        <v>1</v>
      </c>
      <c r="B66" s="116"/>
      <c r="C66" s="84"/>
      <c r="D66" s="120"/>
      <c r="E66" s="84"/>
    </row>
    <row r="67" spans="1:5">
      <c r="A67" s="84">
        <v>2</v>
      </c>
      <c r="B67" s="116"/>
      <c r="C67" s="84"/>
      <c r="D67" s="120"/>
      <c r="E67" s="84"/>
    </row>
    <row r="68" spans="1:5">
      <c r="A68" s="84">
        <v>3</v>
      </c>
      <c r="B68" s="116"/>
      <c r="C68" s="84"/>
      <c r="D68" s="120"/>
      <c r="E68" s="84"/>
    </row>
    <row r="69" spans="1:5">
      <c r="A69" s="84">
        <v>4</v>
      </c>
      <c r="B69" s="116"/>
      <c r="C69" s="84"/>
      <c r="D69" s="120"/>
      <c r="E69" s="84"/>
    </row>
    <row r="70" spans="1:5">
      <c r="A70" s="84">
        <v>5</v>
      </c>
      <c r="B70" s="116"/>
      <c r="C70" s="84"/>
      <c r="D70" s="120"/>
      <c r="E70" s="84"/>
    </row>
    <row r="71" spans="1:5">
      <c r="A71" s="84" t="s">
        <v>122</v>
      </c>
      <c r="B71" s="117"/>
      <c r="C71" s="84"/>
      <c r="D71" s="84"/>
      <c r="E71" s="84"/>
    </row>
    <row r="72" spans="1:5">
      <c r="A72" s="84">
        <v>1</v>
      </c>
      <c r="B72" s="116"/>
      <c r="C72" s="84"/>
      <c r="D72" s="84"/>
      <c r="E72" s="84"/>
    </row>
    <row r="73" spans="1:5">
      <c r="A73" s="84">
        <v>2</v>
      </c>
      <c r="B73" s="116"/>
      <c r="C73" s="84"/>
      <c r="D73" s="84"/>
      <c r="E73" s="84"/>
    </row>
    <row r="74" spans="1:5">
      <c r="A74" s="84">
        <v>3</v>
      </c>
      <c r="B74" s="116"/>
      <c r="C74" s="84"/>
      <c r="D74" s="84"/>
      <c r="E74" s="84"/>
    </row>
    <row r="75" spans="1:5">
      <c r="A75" s="84">
        <v>4</v>
      </c>
      <c r="B75" s="116"/>
      <c r="C75" s="84"/>
      <c r="D75" s="84"/>
      <c r="E75" s="84"/>
    </row>
    <row r="76" spans="1:5">
      <c r="A76" s="84">
        <v>5</v>
      </c>
      <c r="B76" s="116"/>
      <c r="C76" s="84"/>
      <c r="D76" s="84"/>
      <c r="E76" s="84"/>
    </row>
    <row r="77" spans="1:5">
      <c r="A77" s="84" t="s">
        <v>123</v>
      </c>
      <c r="B77" s="117"/>
      <c r="C77" s="84"/>
      <c r="D77" s="84"/>
      <c r="E77" s="84"/>
    </row>
    <row r="78" spans="1:5">
      <c r="A78" s="84">
        <v>1</v>
      </c>
      <c r="B78" s="116"/>
      <c r="C78" s="84"/>
      <c r="D78" s="84"/>
      <c r="E78" s="84"/>
    </row>
    <row r="79" spans="1:5">
      <c r="A79" s="84">
        <v>2</v>
      </c>
      <c r="B79" s="116"/>
      <c r="C79" s="84"/>
      <c r="D79" s="84"/>
      <c r="E79" s="84"/>
    </row>
    <row r="80" spans="1:5">
      <c r="A80" s="84">
        <v>3</v>
      </c>
      <c r="B80" s="116"/>
      <c r="C80" s="84"/>
      <c r="D80" s="84"/>
      <c r="E80" s="84"/>
    </row>
    <row r="81" spans="1:5">
      <c r="A81" s="84">
        <v>4</v>
      </c>
      <c r="B81" s="116"/>
      <c r="C81" s="84"/>
      <c r="D81" s="84"/>
      <c r="E81" s="84"/>
    </row>
    <row r="82" spans="1:5">
      <c r="A82" s="84">
        <v>5</v>
      </c>
      <c r="B82" s="116"/>
      <c r="C82" s="84"/>
      <c r="D82" s="84"/>
      <c r="E82" s="84"/>
    </row>
    <row r="83" spans="1:5">
      <c r="A83" s="84" t="s">
        <v>124</v>
      </c>
      <c r="B83" s="117"/>
      <c r="C83" s="84"/>
      <c r="D83" s="84"/>
      <c r="E83" s="84"/>
    </row>
    <row r="84" spans="1:5">
      <c r="A84" s="84">
        <v>1</v>
      </c>
      <c r="B84" s="116"/>
      <c r="C84" s="84"/>
      <c r="D84" s="84"/>
      <c r="E84" s="84"/>
    </row>
    <row r="85" spans="1:5">
      <c r="A85" s="84">
        <v>2</v>
      </c>
      <c r="B85" s="116"/>
      <c r="C85" s="84"/>
      <c r="D85" s="84"/>
      <c r="E85" s="84"/>
    </row>
    <row r="86" spans="1:5">
      <c r="A86" s="84">
        <v>3</v>
      </c>
      <c r="B86" s="116"/>
      <c r="C86" s="84"/>
      <c r="D86" s="84"/>
      <c r="E86" s="84"/>
    </row>
    <row r="87" spans="1:5">
      <c r="A87" s="84">
        <v>4</v>
      </c>
      <c r="B87" s="116"/>
      <c r="C87" s="84"/>
      <c r="D87" s="84"/>
      <c r="E87" s="84"/>
    </row>
    <row r="88" spans="1:5">
      <c r="A88" s="84">
        <v>5</v>
      </c>
      <c r="B88" s="116"/>
      <c r="C88" s="84"/>
      <c r="D88" s="84"/>
      <c r="E88" s="84"/>
    </row>
    <row r="89" spans="1:5">
      <c r="A89" s="112"/>
      <c r="B89" s="113"/>
      <c r="C89" s="113"/>
      <c r="D89" s="113"/>
      <c r="E89" s="121"/>
    </row>
    <row r="90" spans="1:5">
      <c r="A90" s="84"/>
      <c r="B90" s="84"/>
      <c r="C90" s="84"/>
      <c r="D90" s="84"/>
      <c r="E90" s="84"/>
    </row>
    <row r="91" spans="1:5">
      <c r="A91" s="84"/>
      <c r="B91" s="84"/>
      <c r="C91" s="84"/>
      <c r="D91" s="122" t="str">
        <f>CONCATENATE("",C10-3," Tax Rate")</f>
        <v>2011 Tax Rate</v>
      </c>
      <c r="E91" s="84"/>
    </row>
    <row r="92" spans="1:5">
      <c r="A92" s="97" t="str">
        <f>CONCATENATE("From the ",C10-1," Budget, Budget Summary Page")</f>
        <v>From the 2013 Budget, Budget Summary Page</v>
      </c>
      <c r="B92" s="98"/>
      <c r="C92" s="84"/>
      <c r="D92" s="123" t="str">
        <f>CONCATENATE("(",C10-2," Column)")</f>
        <v>(2012 Column)</v>
      </c>
      <c r="E92" s="84"/>
    </row>
    <row r="93" spans="1:5">
      <c r="A93" s="84"/>
      <c r="B93" s="124" t="str">
        <f>B22</f>
        <v>General</v>
      </c>
      <c r="C93" s="84"/>
      <c r="D93" s="116">
        <v>18.838999999999999</v>
      </c>
      <c r="E93" s="84"/>
    </row>
    <row r="94" spans="1:5">
      <c r="A94" s="84"/>
      <c r="B94" s="124" t="str">
        <f>B23</f>
        <v>Debt Service</v>
      </c>
      <c r="C94" s="84"/>
      <c r="D94" s="116">
        <v>6.9539999999999997</v>
      </c>
      <c r="E94" s="84"/>
    </row>
    <row r="95" spans="1:5">
      <c r="A95" s="84"/>
      <c r="B95" s="124" t="str">
        <f>B24</f>
        <v>Library</v>
      </c>
      <c r="C95" s="84"/>
      <c r="D95" s="116">
        <v>4.7850000000000001</v>
      </c>
      <c r="E95" s="84"/>
    </row>
    <row r="96" spans="1:5">
      <c r="A96" s="84"/>
      <c r="B96" s="124" t="s">
        <v>260</v>
      </c>
      <c r="C96" s="84"/>
      <c r="D96" s="116"/>
      <c r="E96" s="84"/>
    </row>
    <row r="97" spans="1:7">
      <c r="A97" s="109" t="s">
        <v>259</v>
      </c>
      <c r="B97" s="99"/>
      <c r="C97" s="125"/>
      <c r="D97" s="126">
        <f>SUM(D93:D96)</f>
        <v>30.577999999999999</v>
      </c>
      <c r="E97" s="84" t="s">
        <v>260</v>
      </c>
    </row>
    <row r="98" spans="1:7">
      <c r="A98" s="84"/>
      <c r="B98" s="84"/>
      <c r="C98" s="84"/>
      <c r="D98" s="84"/>
      <c r="E98" s="84"/>
    </row>
    <row r="99" spans="1:7">
      <c r="A99" s="127" t="str">
        <f>CONCATENATE("Total Tax Levied (",C10-2," budget column)")</f>
        <v>Total Tax Levied (2012 budget column)</v>
      </c>
      <c r="B99" s="128"/>
      <c r="C99" s="99"/>
      <c r="D99" s="125"/>
      <c r="E99" s="106">
        <v>2034437</v>
      </c>
    </row>
    <row r="100" spans="1:7">
      <c r="A100" s="129" t="str">
        <f>CONCATENATE("Assessed Valuation  (",C10-2," budget column)")</f>
        <v>Assessed Valuation  (2012 budget column)</v>
      </c>
      <c r="B100" s="130"/>
      <c r="C100" s="131"/>
      <c r="D100" s="132"/>
      <c r="E100" s="106">
        <v>66531961</v>
      </c>
      <c r="G100" s="80" t="s">
        <v>1018</v>
      </c>
    </row>
    <row r="101" spans="1:7">
      <c r="A101" s="112"/>
      <c r="B101" s="113"/>
      <c r="C101" s="113"/>
      <c r="D101" s="113"/>
      <c r="E101" s="121"/>
    </row>
    <row r="102" spans="1:7">
      <c r="A102" s="133" t="str">
        <f>CONCATENATE("From the ",C10-1," Budget, Budget Summary Page")</f>
        <v>From the 2013 Budget, Budget Summary Page</v>
      </c>
      <c r="B102" s="134"/>
      <c r="C102" s="84"/>
      <c r="D102" s="135"/>
      <c r="E102" s="136"/>
    </row>
    <row r="103" spans="1:7">
      <c r="A103" s="96" t="s">
        <v>158</v>
      </c>
      <c r="B103" s="96"/>
      <c r="C103" s="137"/>
      <c r="D103" s="138">
        <f>C10-3</f>
        <v>2011</v>
      </c>
      <c r="E103" s="139">
        <f>C10-2</f>
        <v>2012</v>
      </c>
    </row>
    <row r="104" spans="1:7">
      <c r="A104" s="140" t="s">
        <v>93</v>
      </c>
      <c r="B104" s="140"/>
      <c r="C104" s="141"/>
      <c r="D104" s="115">
        <v>19585000</v>
      </c>
      <c r="E104" s="115">
        <v>22570000</v>
      </c>
    </row>
    <row r="105" spans="1:7">
      <c r="A105" s="142" t="s">
        <v>94</v>
      </c>
      <c r="B105" s="142"/>
      <c r="C105" s="143"/>
      <c r="D105" s="115">
        <v>0</v>
      </c>
      <c r="E105" s="115">
        <v>0</v>
      </c>
    </row>
    <row r="106" spans="1:7">
      <c r="A106" s="142" t="s">
        <v>95</v>
      </c>
      <c r="B106" s="142"/>
      <c r="C106" s="143"/>
      <c r="D106" s="115">
        <v>4890000</v>
      </c>
      <c r="E106" s="115">
        <v>0</v>
      </c>
    </row>
    <row r="107" spans="1:7">
      <c r="A107" s="142" t="s">
        <v>96</v>
      </c>
      <c r="B107" s="142"/>
      <c r="C107" s="143"/>
      <c r="D107" s="115">
        <v>435560</v>
      </c>
      <c r="E107" s="115">
        <v>279147</v>
      </c>
    </row>
    <row r="108" spans="1:7">
      <c r="A108" s="144"/>
      <c r="B108" s="144"/>
      <c r="C108" s="144"/>
      <c r="D108" s="144"/>
      <c r="E108" s="144"/>
    </row>
    <row r="109" spans="1:7">
      <c r="A109" s="144"/>
      <c r="B109" s="144"/>
      <c r="C109" s="144"/>
      <c r="D109" s="144"/>
      <c r="E109" s="144"/>
    </row>
    <row r="110" spans="1:7">
      <c r="A110" s="144"/>
      <c r="B110" s="144"/>
      <c r="C110" s="144"/>
      <c r="D110" s="144"/>
      <c r="E110" s="144"/>
    </row>
    <row r="111" spans="1:7">
      <c r="A111" s="144"/>
      <c r="B111" s="144"/>
      <c r="C111" s="144"/>
      <c r="D111" s="144"/>
      <c r="E111" s="144"/>
    </row>
    <row r="112" spans="1:7">
      <c r="A112" s="144"/>
      <c r="B112" s="144"/>
      <c r="C112" s="144"/>
      <c r="D112" s="144"/>
      <c r="E112" s="144"/>
    </row>
    <row r="113" spans="1:5">
      <c r="A113" s="144"/>
      <c r="B113" s="144"/>
      <c r="C113" s="144"/>
      <c r="D113" s="144"/>
      <c r="E113" s="144"/>
    </row>
    <row r="114" spans="1:5" s="144" customFormat="1" ht="15"/>
    <row r="115" spans="1:5">
      <c r="A115" s="144"/>
      <c r="B115" s="144"/>
      <c r="C115" s="144"/>
      <c r="D115" s="144"/>
      <c r="E115" s="144"/>
    </row>
    <row r="116" spans="1:5">
      <c r="A116" s="144"/>
      <c r="B116" s="144"/>
      <c r="C116" s="144"/>
      <c r="D116" s="144"/>
      <c r="E116" s="144"/>
    </row>
    <row r="117" spans="1:5">
      <c r="A117" s="144"/>
      <c r="B117" s="144"/>
      <c r="C117" s="144"/>
      <c r="D117" s="144"/>
      <c r="E117" s="144"/>
    </row>
    <row r="118" spans="1:5">
      <c r="A118" s="144"/>
      <c r="B118" s="144"/>
      <c r="C118" s="144"/>
      <c r="D118" s="144"/>
      <c r="E118" s="144"/>
    </row>
    <row r="119" spans="1:5">
      <c r="A119" s="144"/>
      <c r="B119" s="144"/>
      <c r="C119" s="144"/>
      <c r="D119" s="144"/>
      <c r="E119" s="144"/>
    </row>
    <row r="120" spans="1:5">
      <c r="A120" s="144"/>
      <c r="B120" s="144"/>
      <c r="C120" s="144"/>
      <c r="D120" s="144"/>
      <c r="E120" s="144"/>
    </row>
    <row r="121" spans="1:5">
      <c r="A121" s="144"/>
      <c r="B121" s="144"/>
      <c r="C121" s="144"/>
      <c r="D121" s="144"/>
      <c r="E121" s="144"/>
    </row>
    <row r="122" spans="1:5">
      <c r="A122" s="144"/>
      <c r="B122" s="144"/>
      <c r="C122" s="144"/>
      <c r="D122" s="144"/>
      <c r="E122" s="144"/>
    </row>
    <row r="123" spans="1:5">
      <c r="A123" s="144"/>
      <c r="B123" s="144"/>
      <c r="C123" s="144"/>
      <c r="D123" s="144"/>
      <c r="E123" s="144"/>
    </row>
    <row r="124" spans="1:5">
      <c r="A124" s="144"/>
      <c r="B124" s="144"/>
      <c r="C124" s="144"/>
      <c r="D124" s="144"/>
      <c r="E124" s="144"/>
    </row>
    <row r="125" spans="1:5">
      <c r="A125" s="144"/>
      <c r="B125" s="144"/>
      <c r="C125" s="144"/>
      <c r="D125" s="144"/>
      <c r="E125" s="144"/>
    </row>
  </sheetData>
  <mergeCells count="3">
    <mergeCell ref="A15:E15"/>
    <mergeCell ref="A1:E1"/>
    <mergeCell ref="G13:H18"/>
  </mergeCells>
  <phoneticPr fontId="0" type="noConversion"/>
  <printOptions headings="1"/>
  <pageMargins left="0.5" right="0.5" top="1" bottom="0.5" header="0.5" footer="0.25"/>
  <pageSetup scale="67" fitToHeight="2" orientation="portrait" blackAndWhite="1" horizontalDpi="120" verticalDpi="144"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G104"/>
  <sheetViews>
    <sheetView workbookViewId="0">
      <selection activeCell="E58" sqref="E58"/>
    </sheetView>
  </sheetViews>
  <sheetFormatPr defaultColWidth="8.88671875" defaultRowHeight="15"/>
  <cols>
    <col min="1" max="1" width="29.5546875" style="144" customWidth="1"/>
    <col min="2" max="2" width="12.5546875" style="144" customWidth="1"/>
    <col min="3" max="3" width="10.77734375" style="144" customWidth="1"/>
    <col min="4" max="5" width="11.33203125" style="144" customWidth="1"/>
    <col min="6" max="6" width="10.77734375" style="144" customWidth="1"/>
    <col min="7" max="16384" width="8.88671875" style="144"/>
  </cols>
  <sheetData>
    <row r="1" spans="1:6" ht="15.75">
      <c r="A1" s="145" t="str">
        <f>inputPrYr!$D$3</f>
        <v>City of Bonner Springs</v>
      </c>
      <c r="B1" s="107"/>
      <c r="C1" s="107"/>
      <c r="D1" s="107"/>
      <c r="E1" s="146">
        <f>inputPrYr!C10</f>
        <v>2014</v>
      </c>
      <c r="F1" s="107"/>
    </row>
    <row r="2" spans="1:6">
      <c r="A2" s="107"/>
      <c r="B2" s="107"/>
      <c r="C2" s="107"/>
      <c r="D2" s="107"/>
      <c r="E2" s="107"/>
      <c r="F2" s="107"/>
    </row>
    <row r="3" spans="1:6" ht="15.75">
      <c r="A3" s="842" t="s">
        <v>146</v>
      </c>
      <c r="B3" s="843"/>
      <c r="C3" s="843"/>
      <c r="D3" s="843"/>
      <c r="E3" s="843"/>
      <c r="F3" s="107"/>
    </row>
    <row r="4" spans="1:6" ht="15.75">
      <c r="A4" s="431"/>
      <c r="B4" s="107"/>
      <c r="C4" s="107"/>
      <c r="D4" s="107"/>
      <c r="E4" s="107"/>
      <c r="F4" s="107"/>
    </row>
    <row r="5" spans="1:6">
      <c r="A5" s="107"/>
      <c r="B5" s="107"/>
      <c r="C5" s="107"/>
      <c r="D5" s="107"/>
      <c r="E5" s="107"/>
      <c r="F5" s="107"/>
    </row>
    <row r="6" spans="1:6" ht="16.5" thickBot="1">
      <c r="A6" s="867" t="str">
        <f>CONCATENATE("From the County Clerks ",E1," Budget Information:")</f>
        <v>From the County Clerks 2014 Budget Information:</v>
      </c>
      <c r="B6" s="868"/>
      <c r="C6" s="868"/>
      <c r="D6" s="868"/>
      <c r="E6" s="868"/>
      <c r="F6" s="868"/>
    </row>
    <row r="7" spans="1:6" ht="15.75">
      <c r="A7" s="112"/>
      <c r="B7" s="871" t="str">
        <f>CONCATENATE("Assessed Valuation for ",E1-1,"")</f>
        <v>Assessed Valuation for 2013</v>
      </c>
      <c r="C7" s="872" t="str">
        <f>CONCATENATE("New Improvements for ",E1-1,"")</f>
        <v>New Improvements for 2013</v>
      </c>
      <c r="D7" s="874" t="str">
        <f>CONCATENATE("Personal Property excluding oil, gas, and mobile homes- ",E1-1,"")</f>
        <v>Personal Property excluding oil, gas, and mobile homes- 2013</v>
      </c>
      <c r="E7" s="876" t="str">
        <f>CONCATENATE("Property that has changed in use for ",E1-1,"")</f>
        <v>Property that has changed in use for 2013</v>
      </c>
      <c r="F7" s="865" t="str">
        <f>CONCATENATE("Personal Property excluding oil, gas, and mobile homes- ",E1-2,"")</f>
        <v>Personal Property excluding oil, gas, and mobile homes- 2012</v>
      </c>
    </row>
    <row r="8" spans="1:6" ht="15.75">
      <c r="A8" s="112"/>
      <c r="B8" s="872"/>
      <c r="C8" s="872"/>
      <c r="D8" s="874"/>
      <c r="E8" s="876"/>
      <c r="F8" s="865"/>
    </row>
    <row r="9" spans="1:6" ht="15.75">
      <c r="A9" s="147"/>
      <c r="B9" s="873"/>
      <c r="C9" s="873"/>
      <c r="D9" s="875"/>
      <c r="E9" s="877"/>
      <c r="F9" s="866"/>
    </row>
    <row r="10" spans="1:6" ht="15.75">
      <c r="A10" s="104" t="str">
        <f>inputPrYr!D4</f>
        <v>Wyandotte County</v>
      </c>
      <c r="B10" s="115">
        <v>62218056</v>
      </c>
      <c r="C10" s="115">
        <v>555206</v>
      </c>
      <c r="D10" s="115">
        <v>1784004</v>
      </c>
      <c r="E10" s="106">
        <v>696134</v>
      </c>
      <c r="F10" s="115">
        <v>1940625</v>
      </c>
    </row>
    <row r="11" spans="1:6" ht="15.75">
      <c r="A11" s="148" t="str">
        <f>inputPrYr!D6</f>
        <v>Johnson</v>
      </c>
      <c r="B11" s="115">
        <v>3334313</v>
      </c>
      <c r="C11" s="115">
        <v>0</v>
      </c>
      <c r="D11" s="115">
        <v>518128</v>
      </c>
      <c r="E11" s="106">
        <v>21578</v>
      </c>
      <c r="F11" s="115">
        <v>512580</v>
      </c>
    </row>
    <row r="12" spans="1:6" ht="15.75">
      <c r="A12" s="148" t="str">
        <f>inputPrYr!D7</f>
        <v>Leavenworth</v>
      </c>
      <c r="B12" s="115">
        <v>27880</v>
      </c>
      <c r="C12" s="115">
        <v>0</v>
      </c>
      <c r="D12" s="149">
        <v>614</v>
      </c>
      <c r="E12" s="106">
        <v>0</v>
      </c>
      <c r="F12" s="115">
        <v>682</v>
      </c>
    </row>
    <row r="13" spans="1:6" ht="15.75">
      <c r="A13" s="148" t="str">
        <f>inputPrYr!D8</f>
        <v xml:space="preserve"> </v>
      </c>
      <c r="B13" s="115"/>
      <c r="C13" s="115"/>
      <c r="D13" s="115"/>
      <c r="E13" s="115"/>
      <c r="F13" s="115"/>
    </row>
    <row r="14" spans="1:6" ht="15.75">
      <c r="A14" s="104" t="s">
        <v>271</v>
      </c>
      <c r="B14" s="119">
        <f>SUM(B10:B13)</f>
        <v>65580249</v>
      </c>
      <c r="C14" s="119">
        <f>SUM(C10:C13)</f>
        <v>555206</v>
      </c>
      <c r="D14" s="119">
        <f>SUM(D10:D13)</f>
        <v>2302746</v>
      </c>
      <c r="E14" s="119">
        <f>SUM(E10:E13)</f>
        <v>717712</v>
      </c>
      <c r="F14" s="119">
        <f>SUM(F10:F13)</f>
        <v>2453887</v>
      </c>
    </row>
    <row r="15" spans="1:6" ht="15.75">
      <c r="A15" s="112"/>
      <c r="B15" s="113"/>
      <c r="C15" s="113"/>
      <c r="D15" s="113"/>
      <c r="E15" s="150"/>
      <c r="F15" s="107"/>
    </row>
    <row r="16" spans="1:6" ht="16.5" thickBot="1">
      <c r="A16" s="852" t="str">
        <f>CONCATENATE("Territory Added for ",E1-1,"")</f>
        <v>Territory Added for 2013</v>
      </c>
      <c r="B16" s="870"/>
      <c r="C16" s="870"/>
      <c r="D16" s="870"/>
      <c r="E16" s="150"/>
      <c r="F16" s="107"/>
    </row>
    <row r="17" spans="1:6" ht="31.5">
      <c r="A17" s="109"/>
      <c r="B17" s="151" t="s">
        <v>168</v>
      </c>
      <c r="C17" s="151" t="s">
        <v>51</v>
      </c>
      <c r="D17" s="151" t="s">
        <v>52</v>
      </c>
      <c r="E17" s="150"/>
      <c r="F17" s="107"/>
    </row>
    <row r="18" spans="1:6" ht="15.75">
      <c r="A18" s="104" t="str">
        <f>inputPrYr!D4</f>
        <v>Wyandotte County</v>
      </c>
      <c r="B18" s="152">
        <v>0</v>
      </c>
      <c r="C18" s="152">
        <v>0</v>
      </c>
      <c r="D18" s="152">
        <v>0</v>
      </c>
      <c r="E18" s="150"/>
      <c r="F18" s="107"/>
    </row>
    <row r="19" spans="1:6" ht="15.75">
      <c r="A19" s="104" t="str">
        <f>inputPrYr!D6</f>
        <v>Johnson</v>
      </c>
      <c r="B19" s="152">
        <v>0</v>
      </c>
      <c r="C19" s="152">
        <v>0</v>
      </c>
      <c r="D19" s="152">
        <v>0</v>
      </c>
      <c r="E19" s="150"/>
      <c r="F19" s="107"/>
    </row>
    <row r="20" spans="1:6" ht="15.75">
      <c r="A20" s="104" t="str">
        <f>inputPrYr!D7</f>
        <v>Leavenworth</v>
      </c>
      <c r="B20" s="152">
        <v>0</v>
      </c>
      <c r="C20" s="152">
        <v>0</v>
      </c>
      <c r="D20" s="152">
        <v>0</v>
      </c>
      <c r="E20" s="150"/>
      <c r="F20" s="107"/>
    </row>
    <row r="21" spans="1:6" ht="15.75">
      <c r="A21" s="104" t="str">
        <f>inputPrYr!D8</f>
        <v xml:space="preserve"> </v>
      </c>
      <c r="B21" s="152"/>
      <c r="C21" s="152"/>
      <c r="D21" s="152"/>
      <c r="E21" s="150"/>
      <c r="F21" s="107"/>
    </row>
    <row r="22" spans="1:6" ht="15.75">
      <c r="A22" s="104" t="s">
        <v>271</v>
      </c>
      <c r="B22" s="153">
        <f>SUM(B18:B21)</f>
        <v>0</v>
      </c>
      <c r="C22" s="153">
        <f>SUM(C18:C21)</f>
        <v>0</v>
      </c>
      <c r="D22" s="153">
        <f>SUM(D18:D21)</f>
        <v>0</v>
      </c>
      <c r="E22" s="150"/>
      <c r="F22" s="107"/>
    </row>
    <row r="23" spans="1:6" ht="15.75">
      <c r="A23" s="112"/>
      <c r="B23" s="154"/>
      <c r="C23" s="154"/>
      <c r="D23" s="154"/>
      <c r="E23" s="150"/>
      <c r="F23" s="107"/>
    </row>
    <row r="24" spans="1:6" ht="15.75">
      <c r="A24" s="109" t="str">
        <f>CONCATENATE("Gross earnings (intangible) tax estimate for ",E1,"")</f>
        <v>Gross earnings (intangible) tax estimate for 2014</v>
      </c>
      <c r="B24" s="99"/>
      <c r="C24" s="99"/>
      <c r="D24" s="125"/>
      <c r="E24" s="106"/>
      <c r="F24" s="107"/>
    </row>
    <row r="25" spans="1:6" ht="15.75">
      <c r="A25" s="148" t="s">
        <v>174</v>
      </c>
      <c r="B25" s="131"/>
      <c r="C25" s="131"/>
      <c r="D25" s="131"/>
      <c r="E25" s="115">
        <v>0</v>
      </c>
      <c r="F25" s="107"/>
    </row>
    <row r="26" spans="1:6" ht="15.75">
      <c r="A26" s="112"/>
      <c r="B26" s="113"/>
      <c r="C26" s="113"/>
      <c r="D26" s="113"/>
      <c r="E26" s="121"/>
      <c r="F26" s="107"/>
    </row>
    <row r="27" spans="1:6" ht="16.5" thickBot="1">
      <c r="A27" s="852" t="str">
        <f>CONCATENATE("Actual Tax Rates for the ",E1-1," Budget:")</f>
        <v>Actual Tax Rates for the 2013 Budget:</v>
      </c>
      <c r="B27" s="853"/>
      <c r="C27" s="853"/>
      <c r="D27" s="853"/>
      <c r="E27" s="121"/>
      <c r="F27" s="107"/>
    </row>
    <row r="28" spans="1:6" ht="15.75">
      <c r="A28" s="869" t="s">
        <v>269</v>
      </c>
      <c r="B28" s="845"/>
      <c r="C28" s="107"/>
      <c r="D28" s="155" t="s">
        <v>320</v>
      </c>
      <c r="E28" s="121"/>
      <c r="F28" s="107"/>
    </row>
    <row r="29" spans="1:6" ht="15.75">
      <c r="A29" s="109" t="s">
        <v>257</v>
      </c>
      <c r="B29" s="99"/>
      <c r="C29" s="113"/>
      <c r="D29" s="156">
        <v>18.533000000000001</v>
      </c>
      <c r="E29" s="121"/>
      <c r="F29" s="107"/>
    </row>
    <row r="30" spans="1:6" ht="15.75">
      <c r="A30" s="148" t="s">
        <v>217</v>
      </c>
      <c r="B30" s="131"/>
      <c r="C30" s="113"/>
      <c r="D30" s="157">
        <v>7.1269999999999998</v>
      </c>
      <c r="E30" s="121"/>
      <c r="F30" s="107"/>
    </row>
    <row r="31" spans="1:6" ht="15.75">
      <c r="A31" s="148" t="str">
        <f>IF(inputPrYr!B24&gt;" ",(inputPrYr!B24)," ")</f>
        <v>Library</v>
      </c>
      <c r="B31" s="131"/>
      <c r="C31" s="113"/>
      <c r="D31" s="157">
        <v>4.9450000000000003</v>
      </c>
      <c r="E31" s="121"/>
      <c r="F31" s="107"/>
    </row>
    <row r="32" spans="1:6" ht="15.75">
      <c r="A32" s="148" t="s">
        <v>260</v>
      </c>
      <c r="B32" s="158"/>
      <c r="C32" s="113"/>
      <c r="D32" s="159"/>
      <c r="E32" s="121"/>
      <c r="F32" s="107"/>
    </row>
    <row r="33" spans="1:6" ht="15.75">
      <c r="A33" s="148" t="s">
        <v>260</v>
      </c>
      <c r="B33" s="158"/>
      <c r="C33" s="113"/>
      <c r="D33" s="159"/>
      <c r="E33" s="121"/>
      <c r="F33" s="107"/>
    </row>
    <row r="34" spans="1:6" ht="15.75">
      <c r="A34" s="160"/>
      <c r="B34" s="352" t="s">
        <v>259</v>
      </c>
      <c r="C34" s="649"/>
      <c r="D34" s="648">
        <f>SUM(D29:D33)</f>
        <v>30.605</v>
      </c>
      <c r="E34" s="160" t="s">
        <v>1017</v>
      </c>
      <c r="F34" s="107"/>
    </row>
    <row r="35" spans="1:6">
      <c r="A35" s="160"/>
      <c r="B35" s="160"/>
      <c r="C35" s="160"/>
      <c r="D35" s="160"/>
      <c r="E35" s="160"/>
      <c r="F35" s="107"/>
    </row>
    <row r="36" spans="1:6" ht="16.5" thickBot="1">
      <c r="A36" s="851" t="str">
        <f>CONCATENATE("Final Assessed Valuation from the November 1, ",E1-2," Abstract:")</f>
        <v>Final Assessed Valuation from the November 1, 2012 Abstract:</v>
      </c>
      <c r="B36" s="851"/>
      <c r="C36" s="851"/>
      <c r="D36" s="851"/>
      <c r="E36" s="161"/>
      <c r="F36" s="107"/>
    </row>
    <row r="37" spans="1:6" ht="15.75">
      <c r="A37" s="155"/>
      <c r="B37" s="107"/>
      <c r="C37" s="107"/>
      <c r="D37" s="107"/>
      <c r="E37" s="161"/>
      <c r="F37" s="107"/>
    </row>
    <row r="38" spans="1:6" ht="15.75">
      <c r="A38" s="104" t="str">
        <f>inputPrYr!D4</f>
        <v>Wyandotte County</v>
      </c>
      <c r="B38" s="160"/>
      <c r="C38" s="160"/>
      <c r="D38" s="115">
        <v>62619066</v>
      </c>
      <c r="E38" s="160"/>
      <c r="F38" s="107"/>
    </row>
    <row r="39" spans="1:6" ht="15.75">
      <c r="A39" s="104" t="str">
        <f>inputPrYr!D6</f>
        <v>Johnson</v>
      </c>
      <c r="B39" s="160"/>
      <c r="C39" s="160"/>
      <c r="D39" s="115">
        <v>3569285</v>
      </c>
      <c r="E39" s="160"/>
      <c r="F39" s="107"/>
    </row>
    <row r="40" spans="1:6" ht="15.75">
      <c r="A40" s="104" t="str">
        <f>inputPrYr!D7</f>
        <v>Leavenworth</v>
      </c>
      <c r="B40" s="160"/>
      <c r="C40" s="160"/>
      <c r="D40" s="115">
        <v>27894</v>
      </c>
      <c r="E40" s="160"/>
      <c r="F40" s="107"/>
    </row>
    <row r="41" spans="1:6" ht="15.75">
      <c r="A41" s="104" t="str">
        <f>inputPrYr!D8</f>
        <v xml:space="preserve"> </v>
      </c>
      <c r="B41" s="160"/>
      <c r="C41" s="160"/>
      <c r="D41" s="115"/>
      <c r="E41" s="160"/>
      <c r="F41" s="107"/>
    </row>
    <row r="42" spans="1:6" ht="15.75">
      <c r="A42" s="105" t="s">
        <v>166</v>
      </c>
      <c r="B42" s="160"/>
      <c r="C42" s="160"/>
      <c r="D42" s="119">
        <f>SUM(D38:D41)</f>
        <v>66216245</v>
      </c>
      <c r="E42" s="160"/>
      <c r="F42" s="107"/>
    </row>
    <row r="43" spans="1:6">
      <c r="A43" s="160"/>
      <c r="B43" s="160"/>
      <c r="C43" s="160"/>
      <c r="D43" s="160"/>
      <c r="E43" s="160"/>
      <c r="F43" s="107"/>
    </row>
    <row r="44" spans="1:6" ht="15.75">
      <c r="A44" s="133" t="str">
        <f>CONCATENATE("From the County Treasurer's Budget Information - ",E1," Budget Year Estimates:")</f>
        <v>From the County Treasurer's Budget Information - 2014 Budget Year Estimates:</v>
      </c>
      <c r="B44" s="96"/>
      <c r="C44" s="96"/>
      <c r="D44" s="162"/>
      <c r="E44" s="163"/>
      <c r="F44" s="107"/>
    </row>
    <row r="45" spans="1:6" ht="15.75">
      <c r="A45" s="164"/>
      <c r="B45" s="165"/>
      <c r="C45" s="854" t="s">
        <v>171</v>
      </c>
      <c r="D45" s="860" t="s">
        <v>169</v>
      </c>
      <c r="E45" s="854" t="s">
        <v>170</v>
      </c>
      <c r="F45" s="107"/>
    </row>
    <row r="46" spans="1:6" ht="15.75">
      <c r="A46" s="863" t="str">
        <f>CONCATENATE("",E1," Vehicle Tax Estimates")</f>
        <v>2014 Vehicle Tax Estimates</v>
      </c>
      <c r="B46" s="864"/>
      <c r="C46" s="855"/>
      <c r="D46" s="855"/>
      <c r="E46" s="855"/>
      <c r="F46" s="107"/>
    </row>
    <row r="47" spans="1:6" ht="15.75">
      <c r="A47" s="166" t="str">
        <f>inputPrYr!D4</f>
        <v>Wyandotte County</v>
      </c>
      <c r="B47" s="132"/>
      <c r="C47" s="115">
        <v>239727</v>
      </c>
      <c r="D47" s="115">
        <v>1550</v>
      </c>
      <c r="E47" s="106">
        <v>1288</v>
      </c>
      <c r="F47" s="107"/>
    </row>
    <row r="48" spans="1:6" ht="15.75">
      <c r="A48" s="167" t="str">
        <f>inputPrYr!D6</f>
        <v>Johnson</v>
      </c>
      <c r="B48" s="132"/>
      <c r="C48" s="115">
        <v>2423.5500000000002</v>
      </c>
      <c r="D48" s="115">
        <v>0</v>
      </c>
      <c r="E48" s="106">
        <v>303.52</v>
      </c>
      <c r="F48" s="107"/>
    </row>
    <row r="49" spans="1:6" ht="15.75">
      <c r="A49" s="167" t="str">
        <f>inputPrYr!D7</f>
        <v>Leavenworth</v>
      </c>
      <c r="B49" s="132"/>
      <c r="C49" s="115">
        <v>181.7</v>
      </c>
      <c r="D49" s="115">
        <v>0</v>
      </c>
      <c r="E49" s="106">
        <v>20.11</v>
      </c>
      <c r="F49" s="107"/>
    </row>
    <row r="50" spans="1:6" ht="15.75">
      <c r="A50" s="167" t="str">
        <f>inputPrYr!D8</f>
        <v xml:space="preserve"> </v>
      </c>
      <c r="B50" s="132"/>
      <c r="C50" s="168"/>
      <c r="D50" s="115"/>
      <c r="E50" s="106"/>
      <c r="F50" s="107"/>
    </row>
    <row r="51" spans="1:6" ht="15.75">
      <c r="A51" s="167" t="s">
        <v>172</v>
      </c>
      <c r="B51" s="132"/>
      <c r="C51" s="169">
        <f>SUM(C47:C50)</f>
        <v>242332.25</v>
      </c>
      <c r="D51" s="119">
        <f>SUM(D47:D50)</f>
        <v>1550</v>
      </c>
      <c r="E51" s="119">
        <f>SUM(E47:E50)</f>
        <v>1611.6299999999999</v>
      </c>
      <c r="F51" s="107"/>
    </row>
    <row r="52" spans="1:6" ht="15.75">
      <c r="A52" s="109"/>
      <c r="B52" s="99"/>
      <c r="C52" s="99"/>
      <c r="D52" s="170"/>
      <c r="E52" s="121"/>
      <c r="F52" s="107"/>
    </row>
    <row r="53" spans="1:6" ht="15.75">
      <c r="A53" s="109" t="s">
        <v>89</v>
      </c>
      <c r="B53" s="99"/>
      <c r="C53" s="99"/>
      <c r="D53" s="171"/>
      <c r="E53" s="106">
        <v>0</v>
      </c>
      <c r="F53" s="107"/>
    </row>
    <row r="54" spans="1:6" ht="15.75">
      <c r="A54" s="148" t="s">
        <v>90</v>
      </c>
      <c r="B54" s="131"/>
      <c r="C54" s="131"/>
      <c r="D54" s="172"/>
      <c r="E54" s="106">
        <v>0</v>
      </c>
      <c r="F54" s="107"/>
    </row>
    <row r="55" spans="1:6" ht="15.75">
      <c r="A55" s="84"/>
      <c r="B55" s="84"/>
      <c r="C55" s="84"/>
      <c r="D55" s="84"/>
      <c r="E55" s="84"/>
      <c r="F55" s="107"/>
    </row>
    <row r="56" spans="1:6" ht="15.75">
      <c r="A56" s="83" t="s">
        <v>276</v>
      </c>
      <c r="B56" s="94"/>
      <c r="C56" s="94"/>
      <c r="D56" s="84"/>
      <c r="E56" s="84"/>
      <c r="F56" s="107"/>
    </row>
    <row r="57" spans="1:6" ht="15.75">
      <c r="A57" s="112" t="str">
        <f>CONCATENATE("Actual Delinquency for ",E20-3," Tax - (rate .01213 = 1.213%, key in 1.2)")</f>
        <v>Actual Delinquency for -3 Tax - (rate .01213 = 1.213%, key in 1.2)</v>
      </c>
      <c r="B57" s="113"/>
      <c r="C57" s="84"/>
      <c r="D57" s="84"/>
      <c r="E57" s="651">
        <v>0</v>
      </c>
      <c r="F57" s="107"/>
    </row>
    <row r="58" spans="1:6" ht="15.75">
      <c r="A58" s="650" t="s">
        <v>868</v>
      </c>
      <c r="B58" s="109"/>
      <c r="C58" s="99"/>
      <c r="D58" s="99"/>
      <c r="E58" s="822">
        <v>5.2630999999999997E-2</v>
      </c>
      <c r="F58" s="107"/>
    </row>
    <row r="59" spans="1:6" ht="15.75">
      <c r="A59" s="175" t="s">
        <v>173</v>
      </c>
      <c r="B59" s="176"/>
      <c r="C59" s="176"/>
      <c r="D59" s="176"/>
      <c r="E59" s="176"/>
      <c r="F59" s="177"/>
    </row>
    <row r="60" spans="1:6" ht="15.75">
      <c r="A60" s="84"/>
      <c r="B60" s="84"/>
      <c r="C60" s="84"/>
      <c r="D60" s="84"/>
      <c r="E60" s="84"/>
      <c r="F60" s="107"/>
    </row>
    <row r="61" spans="1:6" ht="16.5" thickBot="1">
      <c r="A61" s="178" t="s">
        <v>159</v>
      </c>
      <c r="B61" s="179"/>
      <c r="C61" s="180"/>
      <c r="D61" s="180"/>
      <c r="E61" s="180"/>
      <c r="F61" s="181"/>
    </row>
    <row r="62" spans="1:6" ht="15.75">
      <c r="A62" s="182" t="str">
        <f>CONCATENATE("",E1," State Distribution for Kansas Gas Tax")</f>
        <v>2014 State Distribution for Kansas Gas Tax</v>
      </c>
      <c r="B62" s="183"/>
      <c r="C62" s="183"/>
      <c r="D62" s="184"/>
      <c r="E62" s="185"/>
      <c r="F62" s="107"/>
    </row>
    <row r="63" spans="1:6" ht="15.75">
      <c r="A63" s="186" t="str">
        <f>CONCATENATE("",E1," County Transfers for Gas**")</f>
        <v>2014 County Transfers for Gas**</v>
      </c>
      <c r="B63" s="187"/>
      <c r="C63" s="187"/>
      <c r="D63" s="188"/>
      <c r="E63" s="115"/>
      <c r="F63" s="107"/>
    </row>
    <row r="64" spans="1:6" ht="15.75">
      <c r="A64" s="186" t="str">
        <f>CONCATENATE("Adjusted ",E1-1," State Distribution for Kansas Gas Tax")</f>
        <v>Adjusted 2013 State Distribution for Kansas Gas Tax</v>
      </c>
      <c r="B64" s="187"/>
      <c r="C64" s="187"/>
      <c r="D64" s="188"/>
      <c r="E64" s="115"/>
      <c r="F64" s="107"/>
    </row>
    <row r="65" spans="1:7" ht="15.75">
      <c r="A65" s="186" t="str">
        <f>CONCATENATE("Adjusted ",E1-1," County Transfers for Gas**")</f>
        <v>Adjusted 2013 County Transfers for Gas**</v>
      </c>
      <c r="B65" s="187"/>
      <c r="C65" s="187"/>
      <c r="D65" s="188"/>
      <c r="E65" s="115"/>
      <c r="F65" s="107"/>
    </row>
    <row r="66" spans="1:7">
      <c r="A66" s="861" t="s">
        <v>141</v>
      </c>
      <c r="B66" s="848"/>
      <c r="C66" s="848"/>
      <c r="D66" s="848"/>
      <c r="E66" s="848"/>
      <c r="F66" s="862"/>
    </row>
    <row r="67" spans="1:7">
      <c r="A67" s="177" t="s">
        <v>142</v>
      </c>
      <c r="B67" s="177"/>
      <c r="C67" s="177"/>
      <c r="D67" s="177"/>
      <c r="E67" s="177"/>
      <c r="F67" s="107"/>
    </row>
    <row r="68" spans="1:7">
      <c r="A68" s="107"/>
      <c r="B68" s="107"/>
      <c r="C68" s="107"/>
      <c r="D68" s="107"/>
      <c r="E68" s="107"/>
    </row>
    <row r="69" spans="1:7" ht="15.75">
      <c r="A69" s="849" t="str">
        <f>CONCATENATE("From the ",E1-2," Budget Certificate Page")</f>
        <v>From the 2012 Budget Certificate Page</v>
      </c>
      <c r="B69" s="850"/>
      <c r="C69" s="107"/>
      <c r="D69" s="107"/>
      <c r="E69" s="107"/>
    </row>
    <row r="70" spans="1:7" ht="15.75">
      <c r="A70" s="189"/>
      <c r="B70" s="858" t="str">
        <f>CONCATENATE("",E1-2,"        Expenditure Amt Budget Authority")</f>
        <v>2012        Expenditure Amt Budget Authority</v>
      </c>
      <c r="C70" s="856" t="str">
        <f>CONCATENATE("Note: If the ",E1-2," budget was amended, then")</f>
        <v>Note: If the 2012 budget was amended, then</v>
      </c>
      <c r="D70" s="857"/>
      <c r="E70" s="857"/>
    </row>
    <row r="71" spans="1:7" ht="15.75">
      <c r="A71" s="190" t="s">
        <v>178</v>
      </c>
      <c r="B71" s="859"/>
      <c r="C71" s="191" t="s">
        <v>179</v>
      </c>
      <c r="D71" s="192"/>
      <c r="E71" s="192"/>
    </row>
    <row r="72" spans="1:7" ht="15.75">
      <c r="A72" s="193"/>
      <c r="B72" s="855"/>
      <c r="C72" s="191" t="s">
        <v>180</v>
      </c>
      <c r="D72" s="192"/>
      <c r="E72" s="192"/>
      <c r="G72" s="194"/>
    </row>
    <row r="73" spans="1:7" ht="15.75">
      <c r="A73" s="195" t="str">
        <f>inputPrYr!B22</f>
        <v>General</v>
      </c>
      <c r="B73" s="185">
        <v>6803931</v>
      </c>
      <c r="C73" s="191"/>
      <c r="D73" s="192"/>
      <c r="E73" s="192"/>
    </row>
    <row r="74" spans="1:7" ht="15.75">
      <c r="A74" s="195" t="str">
        <f>inputPrYr!B23</f>
        <v>Debt Service</v>
      </c>
      <c r="B74" s="115">
        <v>2741016</v>
      </c>
      <c r="C74" s="191"/>
      <c r="D74" s="192"/>
      <c r="E74" s="192"/>
    </row>
    <row r="75" spans="1:7" ht="15.75">
      <c r="A75" s="196" t="str">
        <f>inputPrYr!B24</f>
        <v>Library</v>
      </c>
      <c r="B75" s="115">
        <v>339257</v>
      </c>
      <c r="C75" s="107"/>
      <c r="D75" s="107"/>
      <c r="E75" s="107"/>
    </row>
    <row r="76" spans="1:7" ht="15.75">
      <c r="A76" s="196" t="str">
        <f>inputPrYr!B29</f>
        <v>Spec. Rev. Aquatic Park Facility Sales Tax</v>
      </c>
      <c r="B76" s="115">
        <v>442169</v>
      </c>
      <c r="C76" s="107"/>
      <c r="D76" s="107"/>
      <c r="E76" s="107"/>
    </row>
    <row r="77" spans="1:7" ht="15.75">
      <c r="A77" s="196" t="str">
        <f>inputPrYr!B30</f>
        <v>Spec. Rev. County Infrastructure</v>
      </c>
      <c r="B77" s="115">
        <v>26134</v>
      </c>
      <c r="C77" s="107"/>
      <c r="D77" s="107"/>
      <c r="E77" s="107"/>
    </row>
    <row r="78" spans="1:7" ht="15.75">
      <c r="A78" s="196" t="str">
        <f>inputPrYr!B31</f>
        <v>Spec. Rev. Convention &amp; Tourism</v>
      </c>
      <c r="B78" s="115">
        <v>76127</v>
      </c>
      <c r="C78" s="107"/>
      <c r="D78" s="107"/>
      <c r="E78" s="107"/>
    </row>
    <row r="79" spans="1:7" ht="15.75">
      <c r="A79" s="196" t="str">
        <f>inputPrYr!B32</f>
        <v>Spec. Rev. Drug &amp; Alcohol</v>
      </c>
      <c r="B79" s="115">
        <v>75800</v>
      </c>
      <c r="C79" s="107"/>
      <c r="D79" s="107"/>
      <c r="E79" s="107"/>
    </row>
    <row r="80" spans="1:7" ht="15.75">
      <c r="A80" s="196" t="str">
        <f>inputPrYr!B33</f>
        <v>Spec. Rev. Economic Development</v>
      </c>
      <c r="B80" s="115">
        <v>9450</v>
      </c>
      <c r="C80" s="107"/>
      <c r="D80" s="107"/>
      <c r="E80" s="107"/>
    </row>
    <row r="81" spans="1:5" ht="15.75">
      <c r="A81" s="196" t="str">
        <f>inputPrYr!B34</f>
        <v>Spec. Rev. Emergency Services Capital</v>
      </c>
      <c r="B81" s="115">
        <v>481383</v>
      </c>
      <c r="C81" s="107"/>
      <c r="D81" s="107"/>
      <c r="E81" s="107"/>
    </row>
    <row r="82" spans="1:5" ht="15.75">
      <c r="A82" s="196" t="str">
        <f>inputPrYr!B35</f>
        <v>Spec. Rev. Emergency Medical Services</v>
      </c>
      <c r="B82" s="115">
        <v>531378</v>
      </c>
      <c r="C82" s="107"/>
      <c r="D82" s="107"/>
      <c r="E82" s="107"/>
    </row>
    <row r="83" spans="1:5" ht="15.75">
      <c r="A83" s="196" t="str">
        <f>inputPrYr!B36</f>
        <v>Spec. Rev. Library Sales Tax</v>
      </c>
      <c r="B83" s="115">
        <v>429840</v>
      </c>
      <c r="C83" s="107"/>
      <c r="D83" s="107"/>
      <c r="E83" s="107"/>
    </row>
    <row r="84" spans="1:5" ht="15.75">
      <c r="A84" s="196" t="str">
        <f>inputPrYr!B37</f>
        <v>Spec. Rev. Park Dedication</v>
      </c>
      <c r="B84" s="115">
        <v>0</v>
      </c>
      <c r="C84" s="107"/>
      <c r="D84" s="107"/>
      <c r="E84" s="107"/>
    </row>
    <row r="85" spans="1:5" ht="15.75">
      <c r="A85" s="196" t="str">
        <f>inputPrYr!B38</f>
        <v>Spec. Rev. Recreation Programs</v>
      </c>
      <c r="B85" s="115">
        <v>68397</v>
      </c>
      <c r="C85" s="107" t="s">
        <v>1094</v>
      </c>
      <c r="D85" s="107"/>
      <c r="E85" s="107"/>
    </row>
    <row r="86" spans="1:5" ht="15.75">
      <c r="A86" s="196" t="str">
        <f>inputPrYr!B39</f>
        <v>Spec. Rev. Risk Management</v>
      </c>
      <c r="B86" s="115">
        <v>98386</v>
      </c>
      <c r="C86" s="107"/>
      <c r="D86" s="107"/>
      <c r="E86" s="107"/>
    </row>
    <row r="87" spans="1:5" ht="15.75">
      <c r="A87" s="196" t="str">
        <f>inputPrYr!B40</f>
        <v>Spec. Rev. Senior Center</v>
      </c>
      <c r="B87" s="115">
        <v>50574</v>
      </c>
      <c r="C87" s="107"/>
      <c r="D87" s="107"/>
      <c r="E87" s="107"/>
    </row>
    <row r="88" spans="1:5" ht="15.75">
      <c r="A88" s="196" t="str">
        <f>inputPrYr!B41</f>
        <v>Spec. Rev. Sidewalk Escrow</v>
      </c>
      <c r="B88" s="115">
        <v>34296</v>
      </c>
      <c r="C88" s="107"/>
      <c r="D88" s="107"/>
      <c r="E88" s="107"/>
    </row>
    <row r="89" spans="1:5" ht="15.75">
      <c r="A89" s="196" t="str">
        <f>inputPrYr!B42</f>
        <v>Spec. Rev. Soccer</v>
      </c>
      <c r="B89" s="115">
        <v>18175</v>
      </c>
      <c r="C89" s="107" t="s">
        <v>1094</v>
      </c>
      <c r="D89" s="107"/>
      <c r="E89" s="107"/>
    </row>
    <row r="90" spans="1:5" ht="15.75">
      <c r="A90" s="196" t="str">
        <f>inputPrYr!B43</f>
        <v>Spec. Rev. Special Parks &amp; Recreation</v>
      </c>
      <c r="B90" s="115">
        <v>65100</v>
      </c>
      <c r="C90" s="107"/>
      <c r="D90" s="107"/>
      <c r="E90" s="107"/>
    </row>
    <row r="91" spans="1:5" ht="15.75">
      <c r="A91" s="196" t="str">
        <f>inputPrYr!B44</f>
        <v>Spec. Rev. Street Projects</v>
      </c>
      <c r="B91" s="115">
        <v>622600</v>
      </c>
      <c r="C91" s="107"/>
      <c r="D91" s="107"/>
      <c r="E91" s="107"/>
    </row>
    <row r="92" spans="1:5" ht="15.75">
      <c r="A92" s="196" t="str">
        <f>inputPrYr!B45</f>
        <v>Spec. Rev. Summer Ball</v>
      </c>
      <c r="B92" s="115">
        <v>31855</v>
      </c>
    </row>
    <row r="93" spans="1:5" ht="15.75">
      <c r="A93" s="196" t="str">
        <f>inputPrYr!B46</f>
        <v>Spec. Rev. Swimming Pool</v>
      </c>
      <c r="B93" s="115">
        <v>257977</v>
      </c>
      <c r="C93" s="144" t="s">
        <v>1094</v>
      </c>
    </row>
    <row r="94" spans="1:5" ht="15.75">
      <c r="A94" s="196" t="str">
        <f>inputPrYr!B47</f>
        <v>Spec. Rev. Tiblow Transit</v>
      </c>
      <c r="B94" s="115">
        <v>87409</v>
      </c>
      <c r="C94" s="144" t="s">
        <v>1094</v>
      </c>
    </row>
    <row r="95" spans="1:5" ht="15.75">
      <c r="A95" s="196" t="str">
        <f>inputPrYr!B48</f>
        <v>Spec. Rev. TIF Develop Funds</v>
      </c>
      <c r="B95" s="115">
        <v>0</v>
      </c>
    </row>
    <row r="96" spans="1:5" ht="15.75">
      <c r="A96" s="196" t="str">
        <f>inputPrYr!B49</f>
        <v>Bonner Pointe TIF Increment</v>
      </c>
      <c r="B96" s="115">
        <v>139500</v>
      </c>
    </row>
    <row r="97" spans="1:2" ht="15.75">
      <c r="A97" s="196" t="str">
        <f>inputPrYr!B50</f>
        <v>CID Development Fees</v>
      </c>
      <c r="B97" s="115">
        <v>10000</v>
      </c>
    </row>
    <row r="98" spans="1:2" ht="15.75">
      <c r="A98" s="196" t="str">
        <f>inputPrYr!B51</f>
        <v>Bonner Springs Center CID</v>
      </c>
      <c r="B98" s="115">
        <v>160000</v>
      </c>
    </row>
    <row r="99" spans="1:2" ht="15.75">
      <c r="A99" s="196" t="str">
        <f>inputPrYr!B52</f>
        <v>Bonner Springs Ctr City Contribution</v>
      </c>
      <c r="B99" s="115">
        <v>60000</v>
      </c>
    </row>
    <row r="100" spans="1:2" ht="15.75">
      <c r="A100" s="196" t="str">
        <f>inputPrYr!B53</f>
        <v>Enterprise Fund - Solid Waste</v>
      </c>
      <c r="B100" s="115">
        <v>361964</v>
      </c>
    </row>
    <row r="101" spans="1:2" ht="15.75">
      <c r="A101" s="196" t="str">
        <f>inputPrYr!B54</f>
        <v>Enterprise Fund - Storm Water</v>
      </c>
      <c r="B101" s="115">
        <v>124976</v>
      </c>
    </row>
    <row r="102" spans="1:2" ht="15.75">
      <c r="A102" s="196" t="str">
        <f>inputPrYr!B55</f>
        <v>Enterprise Fund - Waste Water</v>
      </c>
      <c r="B102" s="115">
        <v>1575843</v>
      </c>
    </row>
    <row r="103" spans="1:2" ht="15.75">
      <c r="A103" s="196" t="str">
        <f>inputPrYr!B56</f>
        <v>Enterprise Fund - Water</v>
      </c>
      <c r="B103" s="115">
        <v>1827409</v>
      </c>
    </row>
    <row r="104" spans="1:2" ht="15.75">
      <c r="A104" s="196" t="str">
        <f>inputPrYr!B57</f>
        <v>Non Budgeted Funds</v>
      </c>
      <c r="B104" s="115">
        <v>0</v>
      </c>
    </row>
  </sheetData>
  <mergeCells count="19">
    <mergeCell ref="F7:F9"/>
    <mergeCell ref="A6:F6"/>
    <mergeCell ref="A28:B28"/>
    <mergeCell ref="A16:D16"/>
    <mergeCell ref="A3:E3"/>
    <mergeCell ref="B7:B9"/>
    <mergeCell ref="C7:C9"/>
    <mergeCell ref="D7:D9"/>
    <mergeCell ref="E7:E9"/>
    <mergeCell ref="A69:B69"/>
    <mergeCell ref="A36:D36"/>
    <mergeCell ref="A27:D27"/>
    <mergeCell ref="C45:C46"/>
    <mergeCell ref="C70:E70"/>
    <mergeCell ref="B70:B72"/>
    <mergeCell ref="D45:D46"/>
    <mergeCell ref="A66:F66"/>
    <mergeCell ref="E45:E46"/>
    <mergeCell ref="A46:B46"/>
  </mergeCells>
  <phoneticPr fontId="9" type="noConversion"/>
  <printOptions headings="1"/>
  <pageMargins left="0.75" right="0.75" top="1" bottom="1" header="0.5" footer="0.5"/>
  <pageSetup scale="37" orientation="portrait" blackAndWhite="1" r:id="rId1"/>
  <headerFooter alignWithMargins="0"/>
</worksheet>
</file>

<file path=xl/worksheets/sheet4.xml><?xml version="1.0" encoding="utf-8"?>
<worksheet xmlns="http://schemas.openxmlformats.org/spreadsheetml/2006/main" xmlns:r="http://schemas.openxmlformats.org/officeDocument/2006/relationships">
  <dimension ref="A1:J27"/>
  <sheetViews>
    <sheetView workbookViewId="0">
      <selection activeCell="A2" sqref="A2:F2"/>
    </sheetView>
  </sheetViews>
  <sheetFormatPr defaultColWidth="8.88671875" defaultRowHeight="15"/>
  <cols>
    <col min="1" max="1" width="13.77734375" style="653" customWidth="1"/>
    <col min="2" max="2" width="16.109375" style="653" customWidth="1"/>
    <col min="3" max="16384" width="8.88671875" style="653"/>
  </cols>
  <sheetData>
    <row r="1" spans="1:10">
      <c r="J1" s="654" t="s">
        <v>869</v>
      </c>
    </row>
    <row r="2" spans="1:10" ht="54" customHeight="1">
      <c r="A2" s="878" t="s">
        <v>1203</v>
      </c>
      <c r="B2" s="879"/>
      <c r="C2" s="879"/>
      <c r="D2" s="879"/>
      <c r="E2" s="879"/>
      <c r="F2" s="879"/>
      <c r="J2" s="654" t="s">
        <v>870</v>
      </c>
    </row>
    <row r="3" spans="1:10" ht="15.75">
      <c r="A3" s="655" t="s">
        <v>871</v>
      </c>
      <c r="B3" s="656" t="s">
        <v>986</v>
      </c>
      <c r="C3" s="656"/>
      <c r="J3" s="654" t="s">
        <v>872</v>
      </c>
    </row>
    <row r="4" spans="1:10" ht="15.75">
      <c r="A4" s="655"/>
      <c r="B4" s="652"/>
      <c r="J4" s="654" t="s">
        <v>873</v>
      </c>
    </row>
    <row r="5" spans="1:10" ht="15.75">
      <c r="A5" s="655" t="s">
        <v>658</v>
      </c>
      <c r="B5" s="656" t="s">
        <v>71</v>
      </c>
      <c r="J5" s="654" t="s">
        <v>874</v>
      </c>
    </row>
    <row r="6" spans="1:10" ht="15.75">
      <c r="A6" s="405"/>
      <c r="B6" s="405"/>
      <c r="C6" s="405"/>
      <c r="D6" s="406" t="s">
        <v>875</v>
      </c>
      <c r="E6" s="405"/>
      <c r="F6" s="405"/>
      <c r="J6" s="654" t="s">
        <v>876</v>
      </c>
    </row>
    <row r="7" spans="1:10" ht="15.75">
      <c r="A7" s="406" t="s">
        <v>409</v>
      </c>
      <c r="B7" s="656" t="s">
        <v>1019</v>
      </c>
      <c r="C7" s="407"/>
      <c r="D7" s="657" t="str">
        <f ca="1">IF(B7="","",CONCATENATE("Latest date for notice to be published in your newspaper: ",G18," ",G22,", ",G23))</f>
        <v>Latest date for notice to be published in your newspaper: August 2, 2013</v>
      </c>
      <c r="E7" s="405"/>
      <c r="F7" s="405"/>
      <c r="J7" s="654" t="s">
        <v>877</v>
      </c>
    </row>
    <row r="8" spans="1:10" ht="15.75">
      <c r="A8" s="406"/>
      <c r="B8" s="408"/>
      <c r="C8" s="409"/>
      <c r="D8" s="406"/>
      <c r="E8" s="405"/>
      <c r="F8" s="405"/>
      <c r="J8" s="654" t="s">
        <v>878</v>
      </c>
    </row>
    <row r="9" spans="1:10" ht="15.75">
      <c r="A9" s="406" t="s">
        <v>410</v>
      </c>
      <c r="B9" s="656" t="s">
        <v>1020</v>
      </c>
      <c r="C9" s="410"/>
      <c r="D9" s="406"/>
      <c r="E9" s="405"/>
      <c r="F9" s="405"/>
      <c r="J9" s="654" t="s">
        <v>879</v>
      </c>
    </row>
    <row r="10" spans="1:10" ht="15.75">
      <c r="A10" s="406"/>
      <c r="B10" s="406"/>
      <c r="C10" s="406"/>
      <c r="D10" s="406"/>
      <c r="E10" s="405"/>
      <c r="F10" s="405"/>
      <c r="J10" s="654" t="s">
        <v>880</v>
      </c>
    </row>
    <row r="11" spans="1:10" ht="15.75">
      <c r="A11" s="406" t="s">
        <v>411</v>
      </c>
      <c r="B11" s="658" t="s">
        <v>1021</v>
      </c>
      <c r="C11" s="658"/>
      <c r="D11" s="658"/>
      <c r="E11" s="659"/>
      <c r="F11" s="405"/>
      <c r="J11" s="654" t="s">
        <v>881</v>
      </c>
    </row>
    <row r="12" spans="1:10" ht="15.75">
      <c r="A12" s="406"/>
      <c r="B12" s="406"/>
      <c r="C12" s="406"/>
      <c r="D12" s="406"/>
      <c r="E12" s="405"/>
      <c r="F12" s="405"/>
      <c r="J12" s="654" t="s">
        <v>882</v>
      </c>
    </row>
    <row r="13" spans="1:10" ht="15.75">
      <c r="A13" s="406"/>
      <c r="B13" s="406"/>
      <c r="C13" s="406"/>
      <c r="D13" s="406"/>
      <c r="E13" s="405"/>
      <c r="F13" s="405"/>
    </row>
    <row r="14" spans="1:10" ht="15.75">
      <c r="A14" s="406" t="s">
        <v>413</v>
      </c>
      <c r="B14" s="658" t="s">
        <v>1022</v>
      </c>
      <c r="C14" s="658"/>
      <c r="D14" s="658"/>
      <c r="E14" s="659"/>
      <c r="F14" s="405"/>
    </row>
    <row r="17" spans="1:7" ht="15.75">
      <c r="A17" s="880" t="s">
        <v>414</v>
      </c>
      <c r="B17" s="880"/>
      <c r="C17" s="406"/>
      <c r="D17" s="406"/>
      <c r="E17" s="406"/>
      <c r="F17" s="405"/>
    </row>
    <row r="18" spans="1:7" ht="15.75">
      <c r="A18" s="406"/>
      <c r="B18" s="406"/>
      <c r="C18" s="406"/>
      <c r="D18" s="406"/>
      <c r="E18" s="406"/>
      <c r="F18" s="405"/>
      <c r="G18" s="654" t="str">
        <f ca="1">IF(B7="","",INDIRECT(G19))</f>
        <v>August</v>
      </c>
    </row>
    <row r="19" spans="1:7" ht="15.75">
      <c r="A19" s="406" t="s">
        <v>658</v>
      </c>
      <c r="B19" s="406" t="s">
        <v>659</v>
      </c>
      <c r="C19" s="406"/>
      <c r="D19" s="406"/>
      <c r="E19" s="406"/>
      <c r="F19" s="405"/>
      <c r="G19" s="660" t="str">
        <f>IF(B7="","",CONCATENATE("J",G21))</f>
        <v>J8</v>
      </c>
    </row>
    <row r="20" spans="1:7" ht="15.75">
      <c r="A20" s="406"/>
      <c r="B20" s="406"/>
      <c r="C20" s="406"/>
      <c r="D20" s="406"/>
      <c r="E20" s="406"/>
      <c r="F20" s="405"/>
      <c r="G20" s="661">
        <f>B7-10</f>
        <v>41488</v>
      </c>
    </row>
    <row r="21" spans="1:7" ht="15.75">
      <c r="A21" s="406" t="s">
        <v>409</v>
      </c>
      <c r="B21" s="408" t="s">
        <v>415</v>
      </c>
      <c r="C21" s="406"/>
      <c r="D21" s="406"/>
      <c r="E21" s="406"/>
      <c r="G21" s="662">
        <f>IF(B7="","",MONTH(G20))</f>
        <v>8</v>
      </c>
    </row>
    <row r="22" spans="1:7" ht="15.75">
      <c r="A22" s="406"/>
      <c r="B22" s="406"/>
      <c r="C22" s="406"/>
      <c r="D22" s="406"/>
      <c r="E22" s="406"/>
      <c r="G22" s="663">
        <f>IF(B7="","",DAY(G20))</f>
        <v>2</v>
      </c>
    </row>
    <row r="23" spans="1:7" ht="15.75">
      <c r="A23" s="406" t="s">
        <v>410</v>
      </c>
      <c r="B23" s="406" t="s">
        <v>416</v>
      </c>
      <c r="C23" s="406"/>
      <c r="D23" s="406"/>
      <c r="E23" s="406"/>
      <c r="G23" s="664">
        <f>IF(B7="","",YEAR(G20))</f>
        <v>2013</v>
      </c>
    </row>
    <row r="24" spans="1:7" ht="15.75">
      <c r="A24" s="406"/>
      <c r="B24" s="406"/>
      <c r="C24" s="406"/>
      <c r="D24" s="406"/>
      <c r="E24" s="406"/>
    </row>
    <row r="25" spans="1:7" ht="15.75">
      <c r="A25" s="406" t="s">
        <v>411</v>
      </c>
      <c r="B25" s="406" t="s">
        <v>412</v>
      </c>
      <c r="C25" s="406"/>
      <c r="D25" s="406"/>
      <c r="E25" s="406"/>
    </row>
    <row r="26" spans="1:7" ht="15.75">
      <c r="A26" s="406"/>
      <c r="B26" s="406"/>
      <c r="C26" s="406"/>
      <c r="D26" s="406"/>
      <c r="E26" s="406"/>
    </row>
    <row r="27" spans="1:7" ht="15.75">
      <c r="A27" s="406" t="s">
        <v>413</v>
      </c>
      <c r="B27" s="406" t="s">
        <v>412</v>
      </c>
      <c r="C27" s="406"/>
      <c r="D27" s="406"/>
      <c r="E27" s="406"/>
    </row>
  </sheetData>
  <mergeCells count="2">
    <mergeCell ref="A2:F2"/>
    <mergeCell ref="A17:B17"/>
  </mergeCells>
  <pageMargins left="0.7" right="0.7" top="0.75" bottom="0.75" header="0.3" footer="0.3"/>
  <pageSetup orientation="portrait" blackAndWhite="1" r:id="rId1"/>
</worksheet>
</file>

<file path=xl/worksheets/sheet5.xml><?xml version="1.0" encoding="utf-8"?>
<worksheet xmlns="http://schemas.openxmlformats.org/spreadsheetml/2006/main" xmlns:r="http://schemas.openxmlformats.org/officeDocument/2006/relationships">
  <dimension ref="A1:H96"/>
  <sheetViews>
    <sheetView tabSelected="1" topLeftCell="A46" workbookViewId="0">
      <selection activeCell="D64" sqref="D64:D65"/>
    </sheetView>
  </sheetViews>
  <sheetFormatPr defaultColWidth="8.88671875" defaultRowHeight="15.75"/>
  <cols>
    <col min="1" max="1" width="3.109375" style="144" customWidth="1"/>
    <col min="2" max="2" width="24.33203125" style="80" customWidth="1"/>
    <col min="3" max="3" width="10.77734375" style="80" customWidth="1"/>
    <col min="4" max="4" width="5.77734375" style="80" customWidth="1"/>
    <col min="5" max="5" width="10.44140625" style="80" customWidth="1"/>
    <col min="6" max="7" width="11.77734375" style="80" customWidth="1"/>
    <col min="8" max="8" width="8.88671875" style="80" customWidth="1"/>
    <col min="9" max="16384" width="8.88671875" style="144"/>
  </cols>
  <sheetData>
    <row r="1" spans="1:8">
      <c r="B1" s="84"/>
      <c r="C1" s="84"/>
      <c r="D1" s="83" t="s">
        <v>1</v>
      </c>
      <c r="E1" s="83"/>
      <c r="F1" s="84"/>
      <c r="G1" s="84"/>
      <c r="H1" s="68">
        <f>inputPrYr!C10</f>
        <v>2014</v>
      </c>
    </row>
    <row r="2" spans="1:8" ht="15">
      <c r="B2" s="838" t="s">
        <v>1252</v>
      </c>
      <c r="C2" s="836"/>
      <c r="D2" s="836"/>
      <c r="E2" s="836"/>
      <c r="F2" s="836"/>
      <c r="G2" s="836"/>
      <c r="H2" s="836"/>
    </row>
    <row r="3" spans="1:8" ht="15">
      <c r="B3" s="883" t="s">
        <v>1246</v>
      </c>
      <c r="C3" s="884"/>
      <c r="D3" s="884"/>
      <c r="E3" s="884"/>
      <c r="F3" s="884"/>
      <c r="G3" s="884"/>
      <c r="H3" s="884"/>
    </row>
    <row r="4" spans="1:8" s="835" customFormat="1" ht="15">
      <c r="A4" s="834"/>
      <c r="B4" s="883" t="s">
        <v>1247</v>
      </c>
      <c r="C4" s="883"/>
      <c r="D4" s="883"/>
      <c r="E4" s="883"/>
      <c r="F4" s="883"/>
      <c r="G4" s="883"/>
      <c r="H4" s="883"/>
    </row>
    <row r="5" spans="1:8" s="835" customFormat="1" ht="15">
      <c r="A5" s="840" t="s">
        <v>1250</v>
      </c>
      <c r="B5" s="839"/>
      <c r="C5" s="837"/>
      <c r="D5" s="837"/>
      <c r="E5" s="837"/>
      <c r="F5" s="837"/>
      <c r="G5" s="837"/>
      <c r="H5" s="837"/>
    </row>
    <row r="6" spans="1:8">
      <c r="B6" s="84"/>
      <c r="C6" s="84"/>
      <c r="D6" s="84"/>
      <c r="E6" s="84"/>
      <c r="F6" s="199" t="str">
        <f>CONCATENATE("",H1," Adopted Budget")</f>
        <v>2014 Adopted Budget</v>
      </c>
      <c r="G6" s="200"/>
      <c r="H6" s="201"/>
    </row>
    <row r="7" spans="1:8" ht="21" customHeight="1">
      <c r="B7" s="84"/>
      <c r="C7" s="84"/>
      <c r="D7" s="202"/>
      <c r="E7" s="291"/>
      <c r="F7" s="203" t="s">
        <v>260</v>
      </c>
      <c r="G7" s="204" t="str">
        <f>CONCATENATE("Amount of ",H1-1,"")</f>
        <v>Amount of 2013</v>
      </c>
      <c r="H7" s="204" t="s">
        <v>261</v>
      </c>
    </row>
    <row r="8" spans="1:8">
      <c r="B8" s="91"/>
      <c r="C8" s="84"/>
      <c r="D8" s="204" t="s">
        <v>262</v>
      </c>
      <c r="E8" s="204" t="s">
        <v>1055</v>
      </c>
      <c r="F8" s="205" t="s">
        <v>660</v>
      </c>
      <c r="G8" s="206" t="s">
        <v>98</v>
      </c>
      <c r="H8" s="205" t="s">
        <v>263</v>
      </c>
    </row>
    <row r="9" spans="1:8">
      <c r="B9" s="207" t="s">
        <v>264</v>
      </c>
      <c r="C9" s="99"/>
      <c r="D9" s="208" t="s">
        <v>265</v>
      </c>
      <c r="E9" s="208" t="s">
        <v>1056</v>
      </c>
      <c r="F9" s="208" t="s">
        <v>661</v>
      </c>
      <c r="G9" s="209" t="s">
        <v>99</v>
      </c>
      <c r="H9" s="208" t="s">
        <v>266</v>
      </c>
    </row>
    <row r="10" spans="1:8">
      <c r="B10" s="167" t="str">
        <f>CONCATENATE("Computation to Determine Limit for ",H1,"")</f>
        <v>Computation to Determine Limit for 2014</v>
      </c>
      <c r="C10" s="132"/>
      <c r="D10" s="210">
        <v>2</v>
      </c>
      <c r="E10" s="204"/>
      <c r="F10" s="211"/>
      <c r="G10" s="211"/>
      <c r="H10" s="211"/>
    </row>
    <row r="11" spans="1:8">
      <c r="B11" s="167" t="s">
        <v>967</v>
      </c>
      <c r="C11" s="99"/>
      <c r="D11" s="208">
        <v>3</v>
      </c>
      <c r="E11" s="205"/>
      <c r="F11" s="205"/>
      <c r="G11" s="205"/>
      <c r="H11" s="205"/>
    </row>
    <row r="12" spans="1:8">
      <c r="B12" s="167" t="s">
        <v>62</v>
      </c>
      <c r="C12" s="99"/>
      <c r="D12" s="208">
        <v>4</v>
      </c>
      <c r="E12" s="205"/>
      <c r="F12" s="205"/>
      <c r="G12" s="205"/>
      <c r="H12" s="205"/>
    </row>
    <row r="13" spans="1:8">
      <c r="B13" s="167" t="s">
        <v>267</v>
      </c>
      <c r="C13" s="132"/>
      <c r="D13" s="210">
        <v>5</v>
      </c>
      <c r="E13" s="205"/>
      <c r="F13" s="212"/>
      <c r="G13" s="212"/>
      <c r="H13" s="212"/>
    </row>
    <row r="14" spans="1:8">
      <c r="B14" s="167" t="s">
        <v>268</v>
      </c>
      <c r="C14" s="132"/>
      <c r="D14" s="210">
        <v>6</v>
      </c>
      <c r="E14" s="205"/>
      <c r="F14" s="212"/>
      <c r="G14" s="212"/>
      <c r="H14" s="212"/>
    </row>
    <row r="15" spans="1:8">
      <c r="B15" s="347" t="str">
        <f>IF(inputPrYr!D24="","","Computation to Determine State Library Grant")</f>
        <v>Computation to Determine State Library Grant</v>
      </c>
      <c r="C15" s="132"/>
      <c r="D15" s="220">
        <f>IF(inputPrYr!D24="","",'Library Grant '!F40)</f>
        <v>7</v>
      </c>
      <c r="E15" s="803"/>
      <c r="F15" s="212"/>
      <c r="G15" s="212"/>
      <c r="H15" s="212"/>
    </row>
    <row r="16" spans="1:8">
      <c r="B16" s="213" t="s">
        <v>269</v>
      </c>
      <c r="C16" s="214" t="s">
        <v>270</v>
      </c>
      <c r="D16" s="215"/>
      <c r="E16" s="258"/>
      <c r="F16" s="216"/>
      <c r="G16" s="216"/>
      <c r="H16" s="216"/>
    </row>
    <row r="17" spans="2:8">
      <c r="B17" s="104" t="s">
        <v>257</v>
      </c>
      <c r="C17" s="217" t="str">
        <f>IF(inputPrYr!C22&gt;0,(inputPrYr!C22),"  ")</f>
        <v>12-101a</v>
      </c>
      <c r="D17" s="210">
        <f>general!D44</f>
        <v>8</v>
      </c>
      <c r="E17" s="210"/>
      <c r="F17" s="371">
        <f>IF(general!$E$79&lt;&gt;0,general!$E$79,"  ")</f>
        <v>7466219</v>
      </c>
      <c r="G17" s="751">
        <f>IF(general!$E$86&lt;&gt;0,general!$E$86,0)</f>
        <v>1493170.3899999997</v>
      </c>
      <c r="H17" s="752" t="str">
        <f>IF($C$57=0,"",ROUND(G17/$C$57*1000,3))</f>
        <v/>
      </c>
    </row>
    <row r="18" spans="2:8">
      <c r="B18" s="124" t="str">
        <f>IF(inputPrYr!$B23&gt;"  ",(inputPrYr!$B23),"  ")</f>
        <v>Debt Service</v>
      </c>
      <c r="C18" s="217" t="str">
        <f>IF(inputPrYr!C23&gt;0,(inputPrYr!C23),"  ")</f>
        <v>10-113</v>
      </c>
      <c r="D18" s="210">
        <f>DebtSvs!C53</f>
        <v>9</v>
      </c>
      <c r="E18" s="210"/>
      <c r="F18" s="371">
        <f>IF(DebtSvs!$E$42&lt;&gt;0,DebtSvs!$E$42,"  ")</f>
        <v>3293392</v>
      </c>
      <c r="G18" s="751">
        <f>IF(DebtSvs!$E$49&lt;&gt;0,DebtSvs!$E$49,0)</f>
        <v>372538</v>
      </c>
      <c r="H18" s="752" t="str">
        <f>IF($C$57=0,"",ROUND(G18/$C$57*1000,3))</f>
        <v/>
      </c>
    </row>
    <row r="19" spans="2:8">
      <c r="B19" s="124" t="str">
        <f>IF(inputPrYr!$B24&gt;"  ",(inputPrYr!$B24),"  ")</f>
        <v>Library</v>
      </c>
      <c r="C19" s="217" t="str">
        <f>IF(inputPrYr!C24&gt;0,(inputPrYr!C24),"  ")</f>
        <v>12-1220</v>
      </c>
      <c r="D19" s="210">
        <f>Library!C44</f>
        <v>10</v>
      </c>
      <c r="E19" s="820">
        <f>IF(Library!$D$35&lt;&gt;0,Library!$D$35,"  ")</f>
        <v>363331</v>
      </c>
      <c r="F19" s="371">
        <f>IF(Library!$E$35&lt;&gt;0,Library!$E$35,"  ")</f>
        <v>372748</v>
      </c>
      <c r="G19" s="371">
        <f>IF(Library!$E$42&lt;&gt;0,Library!$E$42,"  ")</f>
        <v>338116</v>
      </c>
      <c r="H19" s="752" t="str">
        <f>IF($C$57=0,"",ROUND(G19/$C$57*1000,3))</f>
        <v/>
      </c>
    </row>
    <row r="20" spans="2:8">
      <c r="B20" s="218" t="str">
        <f>IF(inputPrYr!$B29&gt;"  ",(inputPrYr!$B29),"  ")</f>
        <v>Spec. Rev. Aquatic Park Facility Sales Tax</v>
      </c>
      <c r="C20" s="219"/>
      <c r="D20" s="220">
        <f>'Aquatic Sales Co Infra'!C69</f>
        <v>11</v>
      </c>
      <c r="E20" s="220"/>
      <c r="F20" s="371">
        <f>IF('Aquatic Sales Co Infra'!$E$30&gt;0,'Aquatic Sales Co Infra'!$E$30,"  ")</f>
        <v>926065</v>
      </c>
      <c r="G20" s="371"/>
      <c r="H20" s="753"/>
    </row>
    <row r="21" spans="2:8">
      <c r="B21" s="218" t="str">
        <f>IF(inputPrYr!$B30&gt;"  ",(inputPrYr!$B30),"  ")</f>
        <v>Spec. Rev. County Infrastructure</v>
      </c>
      <c r="C21" s="221"/>
      <c r="D21" s="220">
        <f>'Aquatic Sales Co Infra'!C69</f>
        <v>11</v>
      </c>
      <c r="E21" s="220"/>
      <c r="F21" s="371">
        <f>IF('Aquatic Sales Co Infra'!$E$63&gt;0,'Aquatic Sales Co Infra'!$E$63,"  ")</f>
        <v>1315</v>
      </c>
      <c r="G21" s="371"/>
      <c r="H21" s="753"/>
    </row>
    <row r="22" spans="2:8">
      <c r="B22" s="218" t="str">
        <f>IF(inputPrYr!$B31&gt;"  ",(inputPrYr!$B31),"  ")</f>
        <v>Spec. Rev. Convention &amp; Tourism</v>
      </c>
      <c r="C22" s="222"/>
      <c r="D22" s="220">
        <f>'Con Tour Drug Alcohol'!C69</f>
        <v>12</v>
      </c>
      <c r="E22" s="220"/>
      <c r="F22" s="371">
        <f>IF('Con Tour Drug Alcohol'!$E$30&gt;0,'Con Tour Drug Alcohol'!$E$30,"  ")</f>
        <v>103366</v>
      </c>
      <c r="G22" s="371"/>
      <c r="H22" s="753"/>
    </row>
    <row r="23" spans="2:8">
      <c r="B23" s="218" t="str">
        <f>IF(inputPrYr!$B32&gt;"  ",(inputPrYr!$B32),"  ")</f>
        <v>Spec. Rev. Drug &amp; Alcohol</v>
      </c>
      <c r="C23" s="222"/>
      <c r="D23" s="220">
        <f>'Con Tour Drug Alcohol'!C69</f>
        <v>12</v>
      </c>
      <c r="E23" s="220"/>
      <c r="F23" s="371">
        <f>IF('Con Tour Drug Alcohol'!$E$63&gt;0,'Con Tour Drug Alcohol'!$E$63,"  ")</f>
        <v>81250</v>
      </c>
      <c r="G23" s="371"/>
      <c r="H23" s="753"/>
    </row>
    <row r="24" spans="2:8">
      <c r="B24" s="218" t="str">
        <f>IF(inputPrYr!$B33&gt;"  ",(inputPrYr!$B33),"  ")</f>
        <v>Spec. Rev. Economic Development</v>
      </c>
      <c r="C24" s="222"/>
      <c r="D24" s="220">
        <f>'ED EMS Capital'!C69</f>
        <v>13</v>
      </c>
      <c r="E24" s="220"/>
      <c r="F24" s="371">
        <f>IF('ED EMS Capital'!$E$30&gt;0,'ED EMS Capital'!$E$30,"  ")</f>
        <v>12574</v>
      </c>
      <c r="G24" s="371"/>
      <c r="H24" s="753"/>
    </row>
    <row r="25" spans="2:8">
      <c r="B25" s="218" t="str">
        <f>IF(inputPrYr!$B34&gt;"  ",(inputPrYr!$B34),"  ")</f>
        <v>Spec. Rev. Emergency Services Capital</v>
      </c>
      <c r="C25" s="222"/>
      <c r="D25" s="220">
        <f>'ED EMS Capital'!C69</f>
        <v>13</v>
      </c>
      <c r="E25" s="220"/>
      <c r="F25" s="371">
        <f>IF('ED EMS Capital'!$E$63&gt;0,'ED EMS Capital'!$E$63,"  ")</f>
        <v>703342</v>
      </c>
      <c r="G25" s="371"/>
      <c r="H25" s="753"/>
    </row>
    <row r="26" spans="2:8">
      <c r="B26" s="218" t="str">
        <f>IF(inputPrYr!$B35&gt;"  ",(inputPrYr!$B35),"  ")</f>
        <v>Spec. Rev. Emergency Medical Services</v>
      </c>
      <c r="C26" s="222"/>
      <c r="D26" s="220">
        <f>'EMS Library Sales'!C69</f>
        <v>14</v>
      </c>
      <c r="E26" s="220"/>
      <c r="F26" s="371">
        <f>'EMS Library Sales'!E30</f>
        <v>576020</v>
      </c>
      <c r="G26" s="371"/>
      <c r="H26" s="753"/>
    </row>
    <row r="27" spans="2:8">
      <c r="B27" s="218" t="str">
        <f>IF(inputPrYr!$B36&gt;"  ",(inputPrYr!$B36),"  ")</f>
        <v>Spec. Rev. Library Sales Tax</v>
      </c>
      <c r="C27" s="222"/>
      <c r="D27" s="220">
        <f>'EMS Library Sales'!C69</f>
        <v>14</v>
      </c>
      <c r="E27" s="220"/>
      <c r="F27" s="371">
        <f>'EMS Library Sales'!E63</f>
        <v>437940</v>
      </c>
      <c r="G27" s="371"/>
      <c r="H27" s="753"/>
    </row>
    <row r="28" spans="2:8">
      <c r="B28" s="218" t="str">
        <f>IF(inputPrYr!$B37&gt;"  ",(inputPrYr!$B37),"  ")</f>
        <v>Spec. Rev. Park Dedication</v>
      </c>
      <c r="C28" s="219"/>
      <c r="D28" s="220">
        <f>IF('Park Ded Rec Programs'!C63&gt;0,'Park Ded Rec Programs'!C63,"  ")</f>
        <v>15</v>
      </c>
      <c r="E28" s="220"/>
      <c r="F28" s="371">
        <f>'Park Ded Rec Programs'!E24</f>
        <v>0</v>
      </c>
      <c r="G28" s="371"/>
      <c r="H28" s="753"/>
    </row>
    <row r="29" spans="2:8">
      <c r="B29" s="218" t="str">
        <f>IF(inputPrYr!$B38&gt;"  ",(inputPrYr!$B38),"  ")</f>
        <v>Spec. Rev. Recreation Programs</v>
      </c>
      <c r="C29" s="219"/>
      <c r="D29" s="220">
        <f>'Park Ded Rec Programs'!C63</f>
        <v>15</v>
      </c>
      <c r="E29" s="820">
        <f>'Park Ded Rec Programs'!D57</f>
        <v>143695</v>
      </c>
      <c r="F29" s="371">
        <f>'Park Ded Rec Programs'!E57</f>
        <v>137195</v>
      </c>
      <c r="G29" s="371"/>
      <c r="H29" s="753"/>
    </row>
    <row r="30" spans="2:8">
      <c r="B30" s="218" t="str">
        <f>IF(inputPrYr!$B39&gt;"  ",(inputPrYr!$B39),"  ")</f>
        <v>Spec. Rev. Risk Management</v>
      </c>
      <c r="C30" s="219"/>
      <c r="D30" s="220">
        <f>'Risk Mgmt Sen Ctr'!C69</f>
        <v>16</v>
      </c>
      <c r="E30" s="220"/>
      <c r="F30" s="371">
        <f>'Risk Mgmt Sen Ctr'!E30</f>
        <v>141934</v>
      </c>
      <c r="G30" s="371"/>
      <c r="H30" s="753"/>
    </row>
    <row r="31" spans="2:8">
      <c r="B31" s="218" t="str">
        <f>IF(inputPrYr!$B40&gt;"  ",(inputPrYr!$B40),"  ")</f>
        <v>Spec. Rev. Senior Center</v>
      </c>
      <c r="C31" s="219"/>
      <c r="D31" s="220">
        <f>'Risk Mgmt Sen Ctr'!C69</f>
        <v>16</v>
      </c>
      <c r="E31" s="220"/>
      <c r="F31" s="371">
        <f>'Risk Mgmt Sen Ctr'!E63</f>
        <v>48280</v>
      </c>
      <c r="G31" s="371"/>
      <c r="H31" s="753"/>
    </row>
    <row r="32" spans="2:8">
      <c r="B32" s="218" t="str">
        <f>IF(inputPrYr!$B41&gt;"  ",(inputPrYr!$B41),"  ")</f>
        <v>Spec. Rev. Sidewalk Escrow</v>
      </c>
      <c r="C32" s="219"/>
      <c r="D32" s="220">
        <f>'Sidewalk Soccer'!C63</f>
        <v>17</v>
      </c>
      <c r="E32" s="220"/>
      <c r="F32" s="371">
        <f>'Sidewalk Soccer'!E30</f>
        <v>34396</v>
      </c>
      <c r="G32" s="371"/>
      <c r="H32" s="753"/>
    </row>
    <row r="33" spans="2:8">
      <c r="B33" s="218" t="str">
        <f>IF(inputPrYr!$B42&gt;"  ",(inputPrYr!$B42),"  ")</f>
        <v>Spec. Rev. Soccer</v>
      </c>
      <c r="C33" s="219"/>
      <c r="D33" s="220">
        <f>'Sidewalk Soccer'!C63</f>
        <v>17</v>
      </c>
      <c r="E33" s="820">
        <f>'Sidewalk Soccer'!D57</f>
        <v>11810</v>
      </c>
      <c r="F33" s="371">
        <f>'Sidewalk Soccer'!E57</f>
        <v>11455</v>
      </c>
      <c r="G33" s="371"/>
      <c r="H33" s="753"/>
    </row>
    <row r="34" spans="2:8">
      <c r="B34" s="218" t="str">
        <f>IF(inputPrYr!$B43&gt;"  ",(inputPrYr!$B43),"  ")</f>
        <v>Spec. Rev. Special Parks &amp; Recreation</v>
      </c>
      <c r="C34" s="219"/>
      <c r="D34" s="220">
        <f>'Spec Parks Streets'!C57</f>
        <v>18</v>
      </c>
      <c r="E34" s="820">
        <f>'Spec Parks Streets'!D22</f>
        <v>105400</v>
      </c>
      <c r="F34" s="371">
        <f>'Spec Parks Streets'!E22</f>
        <v>60342</v>
      </c>
      <c r="G34" s="371"/>
      <c r="H34" s="753"/>
    </row>
    <row r="35" spans="2:8">
      <c r="B35" s="218" t="str">
        <f>IF(inputPrYr!$B44&gt;"  ",(inputPrYr!$B44),"  ")</f>
        <v>Spec. Rev. Street Projects</v>
      </c>
      <c r="C35" s="221"/>
      <c r="D35" s="220">
        <f>'Spec Parks Streets'!C57</f>
        <v>18</v>
      </c>
      <c r="E35" s="820">
        <f>'Spec Parks Streets'!D51</f>
        <v>578912</v>
      </c>
      <c r="F35" s="371">
        <f>'Spec Parks Streets'!E51</f>
        <v>539100</v>
      </c>
      <c r="G35" s="371"/>
      <c r="H35" s="753"/>
    </row>
    <row r="36" spans="2:8">
      <c r="B36" s="218" t="str">
        <f>IF(inputPrYr!$B45&gt;"  ",(inputPrYr!$B45),"  ")</f>
        <v>Spec. Rev. Summer Ball</v>
      </c>
      <c r="C36" s="222"/>
      <c r="D36" s="220">
        <f>'Ball Pool'!C64</f>
        <v>19</v>
      </c>
      <c r="E36" s="220"/>
      <c r="F36" s="371">
        <f>'Ball Pool'!E23</f>
        <v>46250</v>
      </c>
      <c r="G36" s="371"/>
      <c r="H36" s="753"/>
    </row>
    <row r="37" spans="2:8">
      <c r="B37" s="218" t="str">
        <f>IF(inputPrYr!$B46&gt;"  ",(inputPrYr!$B46),"  ")</f>
        <v>Spec. Rev. Swimming Pool</v>
      </c>
      <c r="C37" s="222"/>
      <c r="D37" s="220">
        <f>'Ball Pool'!C64</f>
        <v>19</v>
      </c>
      <c r="E37" s="220"/>
      <c r="F37" s="371">
        <f>'Ball Pool'!E58</f>
        <v>261924</v>
      </c>
      <c r="G37" s="371"/>
      <c r="H37" s="753"/>
    </row>
    <row r="38" spans="2:8">
      <c r="B38" s="218" t="str">
        <f>IF(inputPrYr!$B47&gt;"  ",(inputPrYr!$B47),"  ")</f>
        <v>Spec. Rev. Tiblow Transit</v>
      </c>
      <c r="C38" s="222"/>
      <c r="D38" s="220">
        <f>'Tiblow TIF Develop'!C70</f>
        <v>20</v>
      </c>
      <c r="E38" s="220"/>
      <c r="F38" s="371">
        <f>'Tiblow TIF Develop'!E31</f>
        <v>90533</v>
      </c>
      <c r="G38" s="371"/>
      <c r="H38" s="753"/>
    </row>
    <row r="39" spans="2:8">
      <c r="B39" s="218" t="str">
        <f>IF(inputPrYr!$B48&gt;"  ",(inputPrYr!$B48),"  ")</f>
        <v>Spec. Rev. TIF Develop Funds</v>
      </c>
      <c r="C39" s="222"/>
      <c r="D39" s="220">
        <f>'Tiblow TIF Develop'!C70</f>
        <v>20</v>
      </c>
      <c r="E39" s="220"/>
      <c r="F39" s="371">
        <f>'Tiblow TIF Develop'!E64</f>
        <v>0</v>
      </c>
      <c r="G39" s="371"/>
      <c r="H39" s="753"/>
    </row>
    <row r="40" spans="2:8" s="790" customFormat="1">
      <c r="B40" s="218" t="str">
        <f>IF(inputPrYr!$B49&gt;"  ",(inputPrYr!$B49),"  ")</f>
        <v>Bonner Pointe TIF Increment</v>
      </c>
      <c r="C40" s="222"/>
      <c r="D40" s="220">
        <f>'TIF Increment CID Develop'!C69</f>
        <v>21</v>
      </c>
      <c r="E40" s="220"/>
      <c r="F40" s="371">
        <f>'TIF Increment CID Develop'!E30</f>
        <v>180000</v>
      </c>
      <c r="G40" s="371"/>
      <c r="H40" s="753"/>
    </row>
    <row r="41" spans="2:8" s="790" customFormat="1">
      <c r="B41" s="218" t="str">
        <f>IF(inputPrYr!$B50&gt;"  ",(inputPrYr!$B50),"  ")</f>
        <v>CID Development Fees</v>
      </c>
      <c r="C41" s="222"/>
      <c r="D41" s="220">
        <f>'TIF Increment CID Develop'!C69</f>
        <v>21</v>
      </c>
      <c r="E41" s="820">
        <f>'TIF Increment CID Develop'!D63</f>
        <v>11190</v>
      </c>
      <c r="F41" s="371">
        <f>'TIF Increment CID Develop'!E63</f>
        <v>0</v>
      </c>
      <c r="G41" s="371"/>
      <c r="H41" s="753"/>
    </row>
    <row r="42" spans="2:8" s="790" customFormat="1">
      <c r="B42" s="218" t="str">
        <f>IF(inputPrYr!$B51&gt;"  ",(inputPrYr!$B51),"  ")</f>
        <v>Bonner Springs Center CID</v>
      </c>
      <c r="C42" s="222"/>
      <c r="D42" s="220">
        <f>'Center CID Ctr City Contrib'!C69</f>
        <v>22</v>
      </c>
      <c r="E42" s="220"/>
      <c r="F42" s="371">
        <f>'Center CID Ctr City Contrib'!E30</f>
        <v>100000</v>
      </c>
      <c r="G42" s="371"/>
      <c r="H42" s="753"/>
    </row>
    <row r="43" spans="2:8" s="790" customFormat="1">
      <c r="B43" s="218" t="str">
        <f>IF(inputPrYr!$B52&gt;"  ",(inputPrYr!$B52),"  ")</f>
        <v>Bonner Springs Ctr City Contribution</v>
      </c>
      <c r="C43" s="222"/>
      <c r="D43" s="220">
        <f>'Center CID Ctr City Contrib'!C69</f>
        <v>22</v>
      </c>
      <c r="E43" s="220"/>
      <c r="F43" s="371">
        <f>'Center CID Ctr City Contrib'!E63</f>
        <v>33000</v>
      </c>
      <c r="G43" s="371"/>
      <c r="H43" s="753"/>
    </row>
    <row r="44" spans="2:8" s="790" customFormat="1">
      <c r="B44" s="218" t="str">
        <f>IF(inputPrYr!$B53&gt;"  ",(inputPrYr!$B53),"  ")</f>
        <v>Enterprise Fund - Solid Waste</v>
      </c>
      <c r="C44" s="222"/>
      <c r="D44" s="220">
        <f>'Solid Waste Storm'!C59</f>
        <v>23</v>
      </c>
      <c r="E44" s="220"/>
      <c r="F44" s="371">
        <f>IF('Solid Waste Storm'!$E$26&gt;0,'Solid Waste Storm'!$E$26,"  ")</f>
        <v>380110</v>
      </c>
      <c r="G44" s="371"/>
      <c r="H44" s="753"/>
    </row>
    <row r="45" spans="2:8" s="790" customFormat="1">
      <c r="B45" s="218" t="str">
        <f>IF(inputPrYr!$B54&gt;"  ",(inputPrYr!$B54),"  ")</f>
        <v>Enterprise Fund - Storm Water</v>
      </c>
      <c r="C45" s="222"/>
      <c r="D45" s="220">
        <f>'Solid Waste Storm'!C59</f>
        <v>23</v>
      </c>
      <c r="E45" s="220"/>
      <c r="F45" s="371">
        <f>IF('Solid Waste Storm'!$E$55&gt;0,'Solid Waste Storm'!$E$55,"  ")</f>
        <v>175378</v>
      </c>
      <c r="G45" s="371"/>
      <c r="H45" s="753"/>
    </row>
    <row r="46" spans="2:8" s="790" customFormat="1">
      <c r="B46" s="218" t="str">
        <f>IF(inputPrYr!$B55&gt;"  ",(inputPrYr!$B55),"  ")</f>
        <v>Enterprise Fund - Waste Water</v>
      </c>
      <c r="C46" s="222"/>
      <c r="D46" s="220">
        <f>'Waste Water'!C43</f>
        <v>24</v>
      </c>
      <c r="E46" s="220"/>
      <c r="F46" s="371">
        <f>IF('Waste Water'!$E$37&gt;0,'Waste Water'!$E$37,"  ")</f>
        <v>1658907</v>
      </c>
      <c r="G46" s="371"/>
      <c r="H46" s="753"/>
    </row>
    <row r="47" spans="2:8" s="790" customFormat="1">
      <c r="B47" s="218" t="str">
        <f>IF(inputPrYr!$B56&gt;"  ",(inputPrYr!$B56),"  ")</f>
        <v>Enterprise Fund - Water</v>
      </c>
      <c r="C47" s="222"/>
      <c r="D47" s="220">
        <f>Water!C41</f>
        <v>25</v>
      </c>
      <c r="E47" s="820">
        <f>IF(Water!$D$35&gt;0,Water!$D$35,"  ")</f>
        <v>1860601</v>
      </c>
      <c r="F47" s="371">
        <f>IF(Water!$E$35&gt;0,Water!$E$35,"  ")</f>
        <v>2325055</v>
      </c>
      <c r="G47" s="371"/>
      <c r="H47" s="753"/>
    </row>
    <row r="48" spans="2:8" s="790" customFormat="1" ht="16.5" thickBot="1">
      <c r="B48" s="218" t="str">
        <f>IF(inputPrYr!$B57&gt;"  ",(inputPrYr!$B57),"  ")</f>
        <v>Non Budgeted Funds</v>
      </c>
      <c r="C48" s="222"/>
      <c r="D48" s="220">
        <f>NonBudA!F33</f>
        <v>26</v>
      </c>
      <c r="E48" s="220"/>
      <c r="F48" s="371">
        <v>0</v>
      </c>
      <c r="G48" s="371"/>
      <c r="H48" s="753"/>
    </row>
    <row r="49" spans="2:8" ht="16.5" thickBot="1">
      <c r="B49" s="354" t="s">
        <v>761</v>
      </c>
      <c r="C49" s="125"/>
      <c r="D49" s="380" t="s">
        <v>272</v>
      </c>
      <c r="E49" s="804"/>
      <c r="F49" s="754">
        <f>SUM(F17:F48)</f>
        <v>20198090</v>
      </c>
      <c r="G49" s="754">
        <f>SUM(G17:G48)</f>
        <v>2203824.3899999997</v>
      </c>
      <c r="H49" s="755" t="str">
        <f>IF(SUM(H17:H48)=0,"",SUM(H17:H48))</f>
        <v/>
      </c>
    </row>
    <row r="50" spans="2:8" ht="16.5" thickTop="1">
      <c r="B50" s="223" t="s">
        <v>149</v>
      </c>
      <c r="C50" s="224"/>
      <c r="D50" s="225"/>
      <c r="E50" s="805"/>
      <c r="F50" s="562"/>
      <c r="G50" s="563" t="str">
        <f>IF(G49&gt;computation!J40,"Yes","No")</f>
        <v>Yes</v>
      </c>
      <c r="H50" s="445"/>
    </row>
    <row r="51" spans="2:8">
      <c r="B51" s="167" t="s">
        <v>148</v>
      </c>
      <c r="C51" s="132"/>
      <c r="D51" s="210">
        <f>summ!D63</f>
        <v>27</v>
      </c>
      <c r="E51" s="796"/>
      <c r="F51" s="84"/>
      <c r="G51" s="84"/>
      <c r="H51" s="84"/>
    </row>
    <row r="52" spans="2:8">
      <c r="B52" s="167" t="s">
        <v>181</v>
      </c>
      <c r="C52" s="132"/>
      <c r="D52" s="210" t="str">
        <f>IF(nhood!C40&gt;0,nhood!C40,"")</f>
        <v/>
      </c>
      <c r="E52" s="796"/>
      <c r="F52" s="84"/>
      <c r="G52" s="84"/>
      <c r="H52" s="84"/>
    </row>
    <row r="53" spans="2:8">
      <c r="B53" s="226" t="s">
        <v>165</v>
      </c>
      <c r="C53" s="885" t="s">
        <v>65</v>
      </c>
      <c r="D53" s="886"/>
      <c r="E53" s="806"/>
      <c r="F53" s="446"/>
      <c r="G53" s="113"/>
      <c r="H53" s="113"/>
    </row>
    <row r="54" spans="2:8">
      <c r="B54" s="227" t="str">
        <f>inputPrYr!D4</f>
        <v>Wyandotte County</v>
      </c>
      <c r="C54" s="881"/>
      <c r="D54" s="882"/>
      <c r="E54" s="807"/>
      <c r="F54" s="447"/>
      <c r="G54" s="113"/>
      <c r="H54" s="113"/>
    </row>
    <row r="55" spans="2:8">
      <c r="B55" s="104" t="str">
        <f>inputPrYr!D6</f>
        <v>Johnson</v>
      </c>
      <c r="C55" s="881"/>
      <c r="D55" s="882"/>
      <c r="E55" s="807"/>
      <c r="F55" s="447"/>
      <c r="G55" s="113"/>
      <c r="H55" s="113"/>
    </row>
    <row r="56" spans="2:8">
      <c r="B56" s="104" t="str">
        <f>inputPrYr!D7</f>
        <v>Leavenworth</v>
      </c>
      <c r="C56" s="881"/>
      <c r="D56" s="882"/>
      <c r="E56" s="807"/>
      <c r="F56" s="447"/>
      <c r="G56" s="113"/>
      <c r="H56" s="113"/>
    </row>
    <row r="57" spans="2:8">
      <c r="B57" s="227" t="s">
        <v>166</v>
      </c>
      <c r="C57" s="888">
        <f>SUM(C54:D56)</f>
        <v>0</v>
      </c>
      <c r="D57" s="889"/>
      <c r="E57" s="808"/>
      <c r="F57" s="676"/>
      <c r="G57" s="113"/>
      <c r="H57" s="113"/>
    </row>
    <row r="58" spans="2:8">
      <c r="B58" s="84" t="s">
        <v>273</v>
      </c>
      <c r="C58" s="890" t="str">
        <f>CONCATENATE("Nov 1, ",H1-1," Total Accessed Valuation")</f>
        <v>Nov 1, 2013 Total Accessed Valuation</v>
      </c>
      <c r="D58" s="891"/>
      <c r="E58" s="809"/>
      <c r="F58" s="113"/>
      <c r="G58" s="113"/>
      <c r="H58" s="113"/>
    </row>
    <row r="59" spans="2:8">
      <c r="B59" s="229" t="s">
        <v>1251</v>
      </c>
      <c r="C59" s="892"/>
      <c r="D59" s="893"/>
      <c r="E59" s="809"/>
      <c r="F59" s="677"/>
      <c r="G59" s="291"/>
      <c r="H59" s="291"/>
    </row>
    <row r="60" spans="2:8">
      <c r="B60" s="112" t="s">
        <v>77</v>
      </c>
      <c r="C60" s="228"/>
      <c r="D60" s="113"/>
      <c r="E60" s="113" t="s">
        <v>260</v>
      </c>
      <c r="F60" s="113" t="s">
        <v>1242</v>
      </c>
      <c r="G60" s="674"/>
      <c r="H60" s="674"/>
    </row>
    <row r="61" spans="2:8">
      <c r="B61" s="229" t="s">
        <v>1251</v>
      </c>
      <c r="C61" s="228"/>
      <c r="D61" s="113"/>
      <c r="E61" s="113" t="s">
        <v>260</v>
      </c>
      <c r="F61" s="113" t="s">
        <v>1243</v>
      </c>
      <c r="G61" s="674"/>
      <c r="H61" s="674"/>
    </row>
    <row r="62" spans="2:8">
      <c r="B62" s="675" t="s">
        <v>890</v>
      </c>
      <c r="C62" s="230"/>
      <c r="D62" s="113"/>
      <c r="E62" s="113" t="s">
        <v>1244</v>
      </c>
      <c r="F62" s="113" t="s">
        <v>1248</v>
      </c>
      <c r="G62" s="841"/>
      <c r="H62" s="113" t="s">
        <v>1249</v>
      </c>
    </row>
    <row r="63" spans="2:8">
      <c r="B63" s="229"/>
      <c r="C63" s="230"/>
      <c r="D63" s="113"/>
      <c r="E63" s="113"/>
      <c r="F63" s="113" t="s">
        <v>1245</v>
      </c>
      <c r="G63" s="113"/>
      <c r="H63" s="113"/>
    </row>
    <row r="64" spans="2:8">
      <c r="B64" s="565" t="s">
        <v>167</v>
      </c>
      <c r="C64" s="231">
        <f>H1-1</f>
        <v>2013</v>
      </c>
      <c r="D64" s="113"/>
      <c r="E64" s="113"/>
      <c r="F64" s="113"/>
      <c r="G64" s="679"/>
      <c r="H64" s="113"/>
    </row>
    <row r="65" spans="2:8">
      <c r="B65" s="680"/>
      <c r="C65" s="84"/>
      <c r="D65" s="113"/>
      <c r="E65" s="113"/>
      <c r="F65" s="113" t="s">
        <v>260</v>
      </c>
      <c r="G65" s="841"/>
      <c r="H65" s="113" t="s">
        <v>260</v>
      </c>
    </row>
    <row r="66" spans="2:8">
      <c r="B66" s="564"/>
      <c r="C66" s="84"/>
      <c r="D66" s="113"/>
      <c r="E66" s="113"/>
      <c r="F66" s="113" t="s">
        <v>260</v>
      </c>
      <c r="G66" s="113"/>
      <c r="H66" s="113"/>
    </row>
    <row r="67" spans="2:8">
      <c r="B67" s="102" t="s">
        <v>274</v>
      </c>
      <c r="C67" s="84"/>
      <c r="D67" s="678"/>
      <c r="E67" s="678"/>
      <c r="F67" s="887" t="s">
        <v>260</v>
      </c>
      <c r="G67" s="862"/>
      <c r="H67" s="862"/>
    </row>
    <row r="68" spans="2:8">
      <c r="B68" s="68"/>
    </row>
    <row r="74" spans="2:8" hidden="1">
      <c r="C74" s="80" t="e">
        <f>inputOth!#REF!</f>
        <v>#REF!</v>
      </c>
    </row>
    <row r="78" spans="2:8" ht="15">
      <c r="B78" s="144"/>
      <c r="C78" s="144"/>
      <c r="D78" s="144"/>
      <c r="E78" s="795"/>
      <c r="F78" s="144"/>
      <c r="G78" s="144"/>
      <c r="H78" s="144"/>
    </row>
    <row r="79" spans="2:8" ht="15">
      <c r="B79" s="144"/>
      <c r="C79" s="144"/>
      <c r="D79" s="144"/>
      <c r="E79" s="795"/>
      <c r="F79" s="144"/>
      <c r="G79" s="144"/>
      <c r="H79" s="144"/>
    </row>
    <row r="80" spans="2:8" ht="15">
      <c r="B80" s="144"/>
      <c r="C80" s="144"/>
      <c r="D80" s="144"/>
      <c r="E80" s="795"/>
      <c r="F80" s="144"/>
      <c r="G80" s="144"/>
      <c r="H80" s="144"/>
    </row>
    <row r="81" spans="2:8" ht="15">
      <c r="B81" s="144"/>
      <c r="C81" s="144"/>
      <c r="D81" s="144"/>
      <c r="E81" s="795"/>
      <c r="F81" s="144"/>
      <c r="G81" s="144"/>
      <c r="H81" s="144"/>
    </row>
    <row r="82" spans="2:8" ht="15">
      <c r="B82" s="144"/>
      <c r="C82" s="144"/>
      <c r="D82" s="144"/>
      <c r="E82" s="795"/>
      <c r="F82" s="144"/>
      <c r="G82" s="144"/>
      <c r="H82" s="144"/>
    </row>
    <row r="83" spans="2:8" ht="15">
      <c r="B83" s="144"/>
      <c r="C83" s="144"/>
      <c r="D83" s="144"/>
      <c r="E83" s="795"/>
      <c r="F83" s="144"/>
      <c r="G83" s="144"/>
      <c r="H83" s="144"/>
    </row>
    <row r="84" spans="2:8" ht="15">
      <c r="B84" s="144"/>
      <c r="C84" s="144"/>
      <c r="D84" s="144"/>
      <c r="E84" s="795"/>
      <c r="F84" s="144"/>
      <c r="G84" s="144"/>
      <c r="H84" s="144"/>
    </row>
    <row r="85" spans="2:8" ht="15">
      <c r="B85" s="144"/>
      <c r="C85" s="144"/>
      <c r="D85" s="144"/>
      <c r="E85" s="795"/>
      <c r="F85" s="144"/>
      <c r="G85" s="144"/>
      <c r="H85" s="144"/>
    </row>
    <row r="86" spans="2:8" ht="15">
      <c r="B86" s="144"/>
      <c r="C86" s="144"/>
      <c r="D86" s="144"/>
      <c r="E86" s="795"/>
      <c r="F86" s="144"/>
      <c r="G86" s="144"/>
      <c r="H86" s="144"/>
    </row>
    <row r="87" spans="2:8" ht="15">
      <c r="B87" s="144"/>
      <c r="C87" s="144"/>
      <c r="D87" s="144"/>
      <c r="E87" s="795"/>
      <c r="F87" s="144"/>
      <c r="G87" s="144"/>
      <c r="H87" s="144"/>
    </row>
    <row r="88" spans="2:8" ht="15">
      <c r="B88" s="144"/>
      <c r="C88" s="144"/>
      <c r="D88" s="144"/>
      <c r="E88" s="795"/>
      <c r="F88" s="144"/>
      <c r="G88" s="144"/>
      <c r="H88" s="144"/>
    </row>
    <row r="89" spans="2:8" ht="15">
      <c r="B89" s="144"/>
      <c r="C89" s="144"/>
      <c r="D89" s="144"/>
      <c r="E89" s="795"/>
      <c r="F89" s="144"/>
      <c r="G89" s="144"/>
      <c r="H89" s="144"/>
    </row>
    <row r="90" spans="2:8" ht="15">
      <c r="B90" s="144"/>
      <c r="C90" s="144"/>
      <c r="D90" s="144"/>
      <c r="E90" s="795"/>
      <c r="F90" s="144"/>
      <c r="G90" s="144"/>
      <c r="H90" s="144"/>
    </row>
    <row r="91" spans="2:8" ht="15">
      <c r="B91" s="144"/>
      <c r="C91" s="144"/>
      <c r="D91" s="144"/>
      <c r="E91" s="795"/>
      <c r="F91" s="144"/>
      <c r="G91" s="144"/>
      <c r="H91" s="144"/>
    </row>
    <row r="92" spans="2:8" ht="15">
      <c r="B92" s="144"/>
      <c r="C92" s="144"/>
      <c r="D92" s="144"/>
      <c r="E92" s="795"/>
      <c r="F92" s="144"/>
      <c r="G92" s="144"/>
      <c r="H92" s="144"/>
    </row>
    <row r="93" spans="2:8" ht="15">
      <c r="B93" s="144"/>
      <c r="C93" s="144"/>
      <c r="D93" s="144"/>
      <c r="E93" s="795"/>
      <c r="F93" s="144"/>
      <c r="G93" s="144"/>
      <c r="H93" s="144"/>
    </row>
    <row r="96" spans="2:8">
      <c r="B96" s="68"/>
      <c r="C96" s="68"/>
      <c r="D96" s="68"/>
      <c r="E96" s="68"/>
      <c r="F96" s="68"/>
      <c r="G96" s="68"/>
      <c r="H96" s="68"/>
    </row>
  </sheetData>
  <mergeCells count="9">
    <mergeCell ref="C54:D54"/>
    <mergeCell ref="B3:H3"/>
    <mergeCell ref="C53:D53"/>
    <mergeCell ref="B4:H4"/>
    <mergeCell ref="F67:H67"/>
    <mergeCell ref="C55:D55"/>
    <mergeCell ref="C56:D56"/>
    <mergeCell ref="C57:D57"/>
    <mergeCell ref="C58:D59"/>
  </mergeCells>
  <phoneticPr fontId="0" type="noConversion"/>
  <printOptions horizontalCentered="1" verticalCentered="1"/>
  <pageMargins left="0.25" right="0.25" top="0" bottom="0.25" header="0.25" footer="0.25"/>
  <pageSetup scale="68" orientation="portrait" blackAndWhite="1" horizontalDpi="120" verticalDpi="144" r:id="rId1"/>
  <headerFooter alignWithMargins="0">
    <oddHeader xml:space="preserve">&amp;RState of Kansas
City
</oddHeader>
    <oddFooter>&amp;C   Page No. 1</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J44"/>
  <sheetViews>
    <sheetView topLeftCell="A13" zoomScale="85" workbookViewId="0">
      <selection activeCell="L29" sqref="L29"/>
    </sheetView>
  </sheetViews>
  <sheetFormatPr defaultColWidth="8.88671875" defaultRowHeight="15.95" customHeight="1"/>
  <cols>
    <col min="1" max="2" width="3.33203125" style="68" customWidth="1"/>
    <col min="3" max="3" width="31.33203125" style="68" customWidth="1"/>
    <col min="4" max="4" width="2.33203125" style="68" customWidth="1"/>
    <col min="5" max="5" width="15.77734375" style="68" customWidth="1"/>
    <col min="6" max="6" width="2" style="68" customWidth="1"/>
    <col min="7" max="7" width="15.77734375" style="68" customWidth="1"/>
    <col min="8" max="8" width="1.88671875" style="68" customWidth="1"/>
    <col min="9" max="9" width="1.77734375" style="68" customWidth="1"/>
    <col min="10" max="10" width="15.77734375" style="68" customWidth="1"/>
    <col min="11" max="16384" width="8.88671875" style="68"/>
  </cols>
  <sheetData>
    <row r="1" spans="1:10" ht="15.95" customHeight="1">
      <c r="A1" s="146"/>
      <c r="B1" s="146"/>
      <c r="C1" s="145" t="str">
        <f>inputPrYr!D3</f>
        <v>City of Bonner Springs</v>
      </c>
      <c r="D1" s="146"/>
      <c r="E1" s="146"/>
      <c r="F1" s="146"/>
      <c r="G1" s="146"/>
      <c r="H1" s="146"/>
      <c r="I1" s="146"/>
      <c r="J1" s="146">
        <f>inputPrYr!C10</f>
        <v>2014</v>
      </c>
    </row>
    <row r="2" spans="1:10" ht="15.95" customHeight="1">
      <c r="A2" s="146"/>
      <c r="B2" s="146"/>
      <c r="C2" s="146"/>
      <c r="D2" s="146"/>
      <c r="E2" s="146"/>
      <c r="F2" s="146"/>
      <c r="G2" s="146"/>
      <c r="H2" s="146"/>
      <c r="I2" s="146"/>
      <c r="J2" s="146"/>
    </row>
    <row r="3" spans="1:10" ht="15.75">
      <c r="A3" s="895" t="str">
        <f>CONCATENATE("Computation to Determine Limit for ",J1,"")</f>
        <v>Computation to Determine Limit for 2014</v>
      </c>
      <c r="B3" s="896"/>
      <c r="C3" s="896"/>
      <c r="D3" s="896"/>
      <c r="E3" s="896"/>
      <c r="F3" s="896"/>
      <c r="G3" s="896"/>
      <c r="H3" s="896"/>
      <c r="I3" s="896"/>
      <c r="J3" s="896"/>
    </row>
    <row r="4" spans="1:10" ht="15.75">
      <c r="A4" s="146"/>
      <c r="B4" s="146"/>
      <c r="C4" s="146"/>
      <c r="D4" s="146"/>
      <c r="E4" s="896"/>
      <c r="F4" s="896"/>
      <c r="G4" s="896"/>
      <c r="H4" s="232"/>
      <c r="I4" s="146"/>
      <c r="J4" s="233" t="s">
        <v>14</v>
      </c>
    </row>
    <row r="5" spans="1:10" ht="15.75">
      <c r="A5" s="234" t="s">
        <v>15</v>
      </c>
      <c r="B5" s="146" t="str">
        <f>CONCATENATE("Total Tax Levy Amount in ",J1-1," Budget")</f>
        <v>Total Tax Levy Amount in 2013 Budget</v>
      </c>
      <c r="C5" s="146"/>
      <c r="D5" s="146"/>
      <c r="E5" s="235"/>
      <c r="F5" s="235"/>
      <c r="G5" s="235"/>
      <c r="H5" s="236" t="s">
        <v>16</v>
      </c>
      <c r="I5" s="235" t="s">
        <v>17</v>
      </c>
      <c r="J5" s="237">
        <f>inputPrYr!E26</f>
        <v>2025736</v>
      </c>
    </row>
    <row r="6" spans="1:10" ht="15.75">
      <c r="A6" s="234" t="s">
        <v>18</v>
      </c>
      <c r="B6" s="146" t="str">
        <f>CONCATENATE("Debt Service Levy in ",J1-1," Budget")</f>
        <v>Debt Service Levy in 2013 Budget</v>
      </c>
      <c r="C6" s="146"/>
      <c r="D6" s="146"/>
      <c r="E6" s="235"/>
      <c r="F6" s="235"/>
      <c r="G6" s="235"/>
      <c r="H6" s="236" t="s">
        <v>19</v>
      </c>
      <c r="I6" s="235" t="s">
        <v>17</v>
      </c>
      <c r="J6" s="238">
        <f>inputPrYr!E23</f>
        <v>471744</v>
      </c>
    </row>
    <row r="7" spans="1:10" ht="15.75">
      <c r="A7" s="234" t="s">
        <v>43</v>
      </c>
      <c r="B7" s="239" t="s">
        <v>40</v>
      </c>
      <c r="C7" s="146"/>
      <c r="D7" s="146"/>
      <c r="E7" s="235"/>
      <c r="F7" s="235"/>
      <c r="G7" s="235"/>
      <c r="H7" s="235"/>
      <c r="I7" s="235" t="s">
        <v>17</v>
      </c>
      <c r="J7" s="240">
        <f>J5-J6</f>
        <v>1553992</v>
      </c>
    </row>
    <row r="8" spans="1:10" ht="15.75">
      <c r="A8" s="146"/>
      <c r="B8" s="146"/>
      <c r="C8" s="146"/>
      <c r="D8" s="146"/>
      <c r="E8" s="235"/>
      <c r="F8" s="235"/>
      <c r="G8" s="235"/>
      <c r="H8" s="235"/>
      <c r="I8" s="235"/>
      <c r="J8" s="235"/>
    </row>
    <row r="9" spans="1:10" ht="15.75">
      <c r="A9" s="146"/>
      <c r="B9" s="239" t="str">
        <f>CONCATENATE("",J1-1," Valuation Information for Valuation Adjustments:")</f>
        <v>2013 Valuation Information for Valuation Adjustments:</v>
      </c>
      <c r="C9" s="146"/>
      <c r="D9" s="146"/>
      <c r="E9" s="235"/>
      <c r="F9" s="235"/>
      <c r="G9" s="235"/>
      <c r="H9" s="235"/>
      <c r="I9" s="235"/>
      <c r="J9" s="235"/>
    </row>
    <row r="10" spans="1:10" ht="15.75">
      <c r="A10" s="146"/>
      <c r="B10" s="146"/>
      <c r="C10" s="239"/>
      <c r="D10" s="146"/>
      <c r="E10" s="235"/>
      <c r="F10" s="235"/>
      <c r="G10" s="235"/>
      <c r="H10" s="235"/>
      <c r="I10" s="235"/>
      <c r="J10" s="235"/>
    </row>
    <row r="11" spans="1:10" ht="15.75">
      <c r="A11" s="234" t="s">
        <v>20</v>
      </c>
      <c r="B11" s="239" t="str">
        <f>CONCATENATE("New Improvements for ",J1-1,":")</f>
        <v>New Improvements for 2013:</v>
      </c>
      <c r="C11" s="146"/>
      <c r="D11" s="146"/>
      <c r="E11" s="236"/>
      <c r="F11" s="236" t="s">
        <v>16</v>
      </c>
      <c r="G11" s="170">
        <f>inputOth!C14</f>
        <v>555206</v>
      </c>
      <c r="H11" s="241"/>
      <c r="I11" s="235"/>
      <c r="J11" s="235"/>
    </row>
    <row r="12" spans="1:10" ht="15.75">
      <c r="A12" s="234"/>
      <c r="B12" s="242"/>
      <c r="C12" s="146"/>
      <c r="D12" s="146"/>
      <c r="E12" s="236"/>
      <c r="F12" s="236"/>
      <c r="G12" s="241"/>
      <c r="H12" s="241"/>
      <c r="I12" s="235"/>
      <c r="J12" s="235"/>
    </row>
    <row r="13" spans="1:10" ht="15.75">
      <c r="A13" s="234" t="s">
        <v>21</v>
      </c>
      <c r="B13" s="239" t="str">
        <f>CONCATENATE("Increase in Personal Property for ",J1-1,":")</f>
        <v>Increase in Personal Property for 2013:</v>
      </c>
      <c r="C13" s="146"/>
      <c r="D13" s="146"/>
      <c r="E13" s="236"/>
      <c r="F13" s="236"/>
      <c r="G13" s="241"/>
      <c r="H13" s="241"/>
      <c r="I13" s="235"/>
      <c r="J13" s="235"/>
    </row>
    <row r="14" spans="1:10" ht="15.75">
      <c r="A14" s="243"/>
      <c r="B14" s="146" t="s">
        <v>22</v>
      </c>
      <c r="C14" s="146" t="str">
        <f>CONCATENATE("Personal Property ",J1-1,"")</f>
        <v>Personal Property 2013</v>
      </c>
      <c r="D14" s="242" t="s">
        <v>16</v>
      </c>
      <c r="E14" s="170">
        <f>inputOth!D14</f>
        <v>2302746</v>
      </c>
      <c r="F14" s="236"/>
      <c r="G14" s="235"/>
      <c r="H14" s="235"/>
      <c r="I14" s="241"/>
      <c r="J14" s="235"/>
    </row>
    <row r="15" spans="1:10" ht="15.75">
      <c r="A15" s="242"/>
      <c r="B15" s="146" t="s">
        <v>23</v>
      </c>
      <c r="C15" s="146" t="str">
        <f>CONCATENATE("Personal Property ",J1-2,"")</f>
        <v>Personal Property 2012</v>
      </c>
      <c r="D15" s="242" t="s">
        <v>19</v>
      </c>
      <c r="E15" s="244">
        <f>inputOth!F14</f>
        <v>2453887</v>
      </c>
      <c r="F15" s="236"/>
      <c r="G15" s="241"/>
      <c r="H15" s="241"/>
      <c r="I15" s="235"/>
      <c r="J15" s="235"/>
    </row>
    <row r="16" spans="1:10" ht="15.75">
      <c r="A16" s="242"/>
      <c r="B16" s="146" t="s">
        <v>24</v>
      </c>
      <c r="C16" s="146" t="s">
        <v>42</v>
      </c>
      <c r="D16" s="146"/>
      <c r="E16" s="235"/>
      <c r="F16" s="235" t="s">
        <v>16</v>
      </c>
      <c r="G16" s="237">
        <f>IF(E14&gt;E15,E14-E15,0)</f>
        <v>0</v>
      </c>
      <c r="H16" s="241"/>
      <c r="I16" s="235"/>
      <c r="J16" s="235"/>
    </row>
    <row r="17" spans="1:10" ht="15.75">
      <c r="A17" s="242"/>
      <c r="B17" s="242"/>
      <c r="C17" s="146"/>
      <c r="D17" s="146"/>
      <c r="E17" s="235"/>
      <c r="F17" s="235"/>
      <c r="G17" s="241" t="s">
        <v>37</v>
      </c>
      <c r="H17" s="241"/>
      <c r="I17" s="235"/>
      <c r="J17" s="235"/>
    </row>
    <row r="18" spans="1:10" ht="15.75">
      <c r="A18" s="242" t="s">
        <v>25</v>
      </c>
      <c r="B18" s="239" t="str">
        <f>CONCATENATE("Valuation of annexed territory for ",J1-1,":")</f>
        <v>Valuation of annexed territory for 2013:</v>
      </c>
      <c r="C18" s="146"/>
      <c r="D18" s="146"/>
      <c r="E18" s="241"/>
      <c r="F18" s="235"/>
      <c r="G18" s="235"/>
      <c r="H18" s="235"/>
      <c r="I18" s="235"/>
      <c r="J18" s="235"/>
    </row>
    <row r="19" spans="1:10" ht="15.75">
      <c r="A19" s="242"/>
      <c r="B19" s="146" t="s">
        <v>26</v>
      </c>
      <c r="C19" s="146" t="s">
        <v>44</v>
      </c>
      <c r="D19" s="242" t="s">
        <v>16</v>
      </c>
      <c r="E19" s="170">
        <f>inputOth!B22</f>
        <v>0</v>
      </c>
      <c r="F19" s="235"/>
      <c r="G19" s="235"/>
      <c r="H19" s="235"/>
      <c r="I19" s="235"/>
      <c r="J19" s="235"/>
    </row>
    <row r="20" spans="1:10" ht="15.75">
      <c r="A20" s="242"/>
      <c r="B20" s="146" t="s">
        <v>27</v>
      </c>
      <c r="C20" s="146" t="s">
        <v>45</v>
      </c>
      <c r="D20" s="242" t="s">
        <v>16</v>
      </c>
      <c r="E20" s="170">
        <f>inputOth!C22</f>
        <v>0</v>
      </c>
      <c r="F20" s="235"/>
      <c r="G20" s="241"/>
      <c r="H20" s="241"/>
      <c r="I20" s="235"/>
      <c r="J20" s="235"/>
    </row>
    <row r="21" spans="1:10" ht="15.75">
      <c r="A21" s="242"/>
      <c r="B21" s="146" t="s">
        <v>28</v>
      </c>
      <c r="C21" s="146" t="s">
        <v>41</v>
      </c>
      <c r="D21" s="242" t="s">
        <v>19</v>
      </c>
      <c r="E21" s="170">
        <f>inputOth!D22</f>
        <v>0</v>
      </c>
      <c r="F21" s="235"/>
      <c r="G21" s="241"/>
      <c r="H21" s="241"/>
      <c r="I21" s="235"/>
      <c r="J21" s="235"/>
    </row>
    <row r="22" spans="1:10" ht="15.75">
      <c r="A22" s="242"/>
      <c r="B22" s="146" t="s">
        <v>29</v>
      </c>
      <c r="C22" s="146" t="s">
        <v>46</v>
      </c>
      <c r="D22" s="242"/>
      <c r="E22" s="241"/>
      <c r="F22" s="235" t="s">
        <v>16</v>
      </c>
      <c r="G22" s="237">
        <f>E19+E20-E21</f>
        <v>0</v>
      </c>
      <c r="H22" s="241"/>
      <c r="I22" s="235"/>
      <c r="J22" s="235"/>
    </row>
    <row r="23" spans="1:10" ht="15.75">
      <c r="A23" s="242"/>
      <c r="B23" s="242"/>
      <c r="C23" s="146"/>
      <c r="D23" s="242"/>
      <c r="E23" s="241"/>
      <c r="F23" s="235"/>
      <c r="G23" s="241"/>
      <c r="H23" s="241"/>
      <c r="I23" s="235"/>
      <c r="J23" s="235"/>
    </row>
    <row r="24" spans="1:10" ht="15.75">
      <c r="A24" s="242" t="s">
        <v>30</v>
      </c>
      <c r="B24" s="239" t="str">
        <f>CONCATENATE("Valuation of Property that has Changed in Use during ",J1-1,":")</f>
        <v>Valuation of Property that has Changed in Use during 2013:</v>
      </c>
      <c r="C24" s="146"/>
      <c r="D24" s="146"/>
      <c r="E24" s="235"/>
      <c r="F24" s="235"/>
      <c r="G24" s="136">
        <f>inputOth!E14</f>
        <v>717712</v>
      </c>
      <c r="H24" s="235"/>
      <c r="I24" s="235"/>
      <c r="J24" s="235"/>
    </row>
    <row r="25" spans="1:10" ht="15.75">
      <c r="A25" s="146" t="s">
        <v>260</v>
      </c>
      <c r="B25" s="146"/>
      <c r="C25" s="146"/>
      <c r="D25" s="242"/>
      <c r="E25" s="241"/>
      <c r="F25" s="235"/>
      <c r="G25" s="245"/>
      <c r="H25" s="241"/>
      <c r="I25" s="235"/>
      <c r="J25" s="235"/>
    </row>
    <row r="26" spans="1:10" ht="15.75">
      <c r="A26" s="242" t="s">
        <v>31</v>
      </c>
      <c r="B26" s="239" t="s">
        <v>47</v>
      </c>
      <c r="C26" s="146"/>
      <c r="D26" s="146"/>
      <c r="E26" s="235"/>
      <c r="F26" s="235"/>
      <c r="G26" s="237">
        <f>G11+G16+G22+G24</f>
        <v>1272918</v>
      </c>
      <c r="H26" s="241"/>
      <c r="I26" s="235"/>
      <c r="J26" s="235"/>
    </row>
    <row r="27" spans="1:10" ht="15.75">
      <c r="A27" s="242"/>
      <c r="B27" s="242"/>
      <c r="C27" s="239"/>
      <c r="D27" s="146"/>
      <c r="E27" s="235"/>
      <c r="F27" s="235"/>
      <c r="G27" s="241"/>
      <c r="H27" s="241"/>
      <c r="I27" s="235"/>
      <c r="J27" s="235"/>
    </row>
    <row r="28" spans="1:10" ht="15.75">
      <c r="A28" s="242" t="s">
        <v>32</v>
      </c>
      <c r="B28" s="146" t="str">
        <f>CONCATENATE("Total Estimated Valuation July 1,",J1-1,"")</f>
        <v>Total Estimated Valuation July 1,2013</v>
      </c>
      <c r="C28" s="146"/>
      <c r="D28" s="146"/>
      <c r="E28" s="237">
        <f>inputOth!B14</f>
        <v>65580249</v>
      </c>
      <c r="F28" s="235"/>
      <c r="G28" s="235"/>
      <c r="H28" s="235"/>
      <c r="I28" s="236"/>
      <c r="J28" s="235"/>
    </row>
    <row r="29" spans="1:10" ht="15.75">
      <c r="A29" s="242"/>
      <c r="B29" s="242"/>
      <c r="C29" s="146"/>
      <c r="D29" s="146"/>
      <c r="E29" s="241"/>
      <c r="F29" s="235"/>
      <c r="G29" s="235"/>
      <c r="H29" s="235"/>
      <c r="I29" s="236"/>
      <c r="J29" s="235"/>
    </row>
    <row r="30" spans="1:10" ht="15.75">
      <c r="A30" s="242" t="s">
        <v>33</v>
      </c>
      <c r="B30" s="239" t="s">
        <v>48</v>
      </c>
      <c r="C30" s="146"/>
      <c r="D30" s="146"/>
      <c r="E30" s="235"/>
      <c r="F30" s="235"/>
      <c r="G30" s="237">
        <f>E28-G26</f>
        <v>64307331</v>
      </c>
      <c r="H30" s="241"/>
      <c r="I30" s="236"/>
      <c r="J30" s="235"/>
    </row>
    <row r="31" spans="1:10" ht="15.75">
      <c r="A31" s="242"/>
      <c r="B31" s="242"/>
      <c r="C31" s="239"/>
      <c r="D31" s="146"/>
      <c r="E31" s="146"/>
      <c r="F31" s="146"/>
      <c r="G31" s="246"/>
      <c r="H31" s="247"/>
      <c r="I31" s="242"/>
      <c r="J31" s="146"/>
    </row>
    <row r="32" spans="1:10" ht="15.75">
      <c r="A32" s="242" t="s">
        <v>34</v>
      </c>
      <c r="B32" s="146" t="s">
        <v>49</v>
      </c>
      <c r="C32" s="146"/>
      <c r="D32" s="146"/>
      <c r="E32" s="146"/>
      <c r="F32" s="146"/>
      <c r="G32" s="248">
        <f>IF(G30&gt;0,G26/G30,0)</f>
        <v>1.9794290638496567E-2</v>
      </c>
      <c r="H32" s="247"/>
      <c r="I32" s="146"/>
      <c r="J32" s="146"/>
    </row>
    <row r="33" spans="1:10" ht="15.75">
      <c r="A33" s="242"/>
      <c r="B33" s="242"/>
      <c r="C33" s="146"/>
      <c r="D33" s="146"/>
      <c r="E33" s="146"/>
      <c r="F33" s="146"/>
      <c r="G33" s="247"/>
      <c r="H33" s="247"/>
      <c r="I33" s="146"/>
      <c r="J33" s="146"/>
    </row>
    <row r="34" spans="1:10" ht="15.75">
      <c r="A34" s="242" t="s">
        <v>35</v>
      </c>
      <c r="B34" s="146" t="s">
        <v>50</v>
      </c>
      <c r="C34" s="146"/>
      <c r="D34" s="146"/>
      <c r="E34" s="146"/>
      <c r="F34" s="146"/>
      <c r="G34" s="247"/>
      <c r="H34" s="249" t="s">
        <v>16</v>
      </c>
      <c r="I34" s="146" t="s">
        <v>17</v>
      </c>
      <c r="J34" s="237">
        <f>ROUND(G32*J7,0)</f>
        <v>30760</v>
      </c>
    </row>
    <row r="35" spans="1:10" ht="15.75">
      <c r="A35" s="242"/>
      <c r="B35" s="242"/>
      <c r="C35" s="146"/>
      <c r="D35" s="146"/>
      <c r="E35" s="146"/>
      <c r="F35" s="146"/>
      <c r="G35" s="247"/>
      <c r="H35" s="249"/>
      <c r="I35" s="146"/>
      <c r="J35" s="241"/>
    </row>
    <row r="36" spans="1:10" ht="16.5" thickBot="1">
      <c r="A36" s="242" t="s">
        <v>36</v>
      </c>
      <c r="B36" s="239" t="s">
        <v>55</v>
      </c>
      <c r="C36" s="146"/>
      <c r="D36" s="146"/>
      <c r="E36" s="146"/>
      <c r="F36" s="146"/>
      <c r="G36" s="146"/>
      <c r="H36" s="146"/>
      <c r="I36" s="146" t="s">
        <v>17</v>
      </c>
      <c r="J36" s="250">
        <f>J7+J34</f>
        <v>1584752</v>
      </c>
    </row>
    <row r="37" spans="1:10" ht="16.5" thickTop="1">
      <c r="A37" s="146"/>
      <c r="B37" s="146"/>
      <c r="C37" s="146"/>
      <c r="D37" s="146"/>
      <c r="E37" s="146"/>
      <c r="F37" s="146"/>
      <c r="G37" s="146"/>
      <c r="H37" s="146"/>
      <c r="I37" s="146"/>
      <c r="J37" s="146"/>
    </row>
    <row r="38" spans="1:10" ht="15.75">
      <c r="A38" s="242" t="s">
        <v>53</v>
      </c>
      <c r="B38" s="239" t="str">
        <f>CONCATENATE("Debt Service in this ",J1," Budget")</f>
        <v>Debt Service in this 2014 Budget</v>
      </c>
      <c r="C38" s="146"/>
      <c r="D38" s="146"/>
      <c r="E38" s="146"/>
      <c r="F38" s="146"/>
      <c r="G38" s="146"/>
      <c r="H38" s="146"/>
      <c r="I38" s="146"/>
      <c r="J38" s="251">
        <f>DebtSvs!E49</f>
        <v>372538</v>
      </c>
    </row>
    <row r="39" spans="1:10" ht="15.75">
      <c r="A39" s="242"/>
      <c r="B39" s="239"/>
      <c r="C39" s="146"/>
      <c r="D39" s="146"/>
      <c r="E39" s="146"/>
      <c r="F39" s="146"/>
      <c r="G39" s="146"/>
      <c r="H39" s="146"/>
      <c r="I39" s="146"/>
      <c r="J39" s="247"/>
    </row>
    <row r="40" spans="1:10" ht="16.5" thickBot="1">
      <c r="A40" s="242" t="s">
        <v>54</v>
      </c>
      <c r="B40" s="239" t="s">
        <v>56</v>
      </c>
      <c r="C40" s="146"/>
      <c r="D40" s="146"/>
      <c r="E40" s="146"/>
      <c r="F40" s="146"/>
      <c r="G40" s="146"/>
      <c r="H40" s="146"/>
      <c r="I40" s="146"/>
      <c r="J40" s="250">
        <f>J36+J38</f>
        <v>1957290</v>
      </c>
    </row>
    <row r="41" spans="1:10" ht="16.5" thickTop="1">
      <c r="A41" s="146"/>
      <c r="B41" s="146"/>
      <c r="C41" s="146"/>
      <c r="D41" s="146"/>
      <c r="E41" s="146"/>
      <c r="F41" s="146"/>
      <c r="G41" s="146"/>
      <c r="H41" s="146"/>
      <c r="I41" s="146"/>
      <c r="J41" s="146"/>
    </row>
    <row r="42" spans="1:10" s="252" customFormat="1" ht="18.75">
      <c r="A42" s="894" t="str">
        <f>CONCATENATE("If the ",J1," budget includes tax levies exceeding the total on line 15, you must")</f>
        <v>If the 2014 budget includes tax levies exceeding the total on line 15, you must</v>
      </c>
      <c r="B42" s="894"/>
      <c r="C42" s="894"/>
      <c r="D42" s="894"/>
      <c r="E42" s="894"/>
      <c r="F42" s="894"/>
      <c r="G42" s="894"/>
      <c r="H42" s="894"/>
      <c r="I42" s="894"/>
      <c r="J42" s="894"/>
    </row>
    <row r="43" spans="1:10" s="252" customFormat="1" ht="18.75">
      <c r="A43" s="894" t="s">
        <v>113</v>
      </c>
      <c r="B43" s="894"/>
      <c r="C43" s="894"/>
      <c r="D43" s="894"/>
      <c r="E43" s="894"/>
      <c r="F43" s="894"/>
      <c r="G43" s="894"/>
      <c r="H43" s="894"/>
      <c r="I43" s="894"/>
      <c r="J43" s="894"/>
    </row>
    <row r="44" spans="1:10" s="252" customFormat="1" ht="18.75">
      <c r="A44" s="894" t="s">
        <v>114</v>
      </c>
      <c r="B44" s="894"/>
      <c r="C44" s="894"/>
      <c r="D44" s="894"/>
      <c r="E44" s="894"/>
      <c r="F44" s="894"/>
      <c r="G44" s="894"/>
      <c r="H44" s="894"/>
      <c r="I44" s="894"/>
      <c r="J44" s="894"/>
    </row>
  </sheetData>
  <mergeCells count="5">
    <mergeCell ref="A42:J42"/>
    <mergeCell ref="A44:J44"/>
    <mergeCell ref="A3:J3"/>
    <mergeCell ref="E4:G4"/>
    <mergeCell ref="A43:J43"/>
  </mergeCells>
  <phoneticPr fontId="0" type="noConversion"/>
  <pageMargins left="0.5" right="0.5" top="1" bottom="0.5" header="0.5" footer="0.5"/>
  <pageSetup scale="80" orientation="portrait" blackAndWhite="1" r:id="rId1"/>
  <headerFooter alignWithMargins="0">
    <oddHeader xml:space="preserve">&amp;RState of Kansas
City
</oddHeader>
    <oddFooter>&amp;CPage No. 2</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G47"/>
  <sheetViews>
    <sheetView topLeftCell="A12" workbookViewId="0">
      <selection activeCell="F7" sqref="F7"/>
    </sheetView>
  </sheetViews>
  <sheetFormatPr defaultColWidth="8.88671875" defaultRowHeight="15.75"/>
  <cols>
    <col min="1" max="1" width="8.88671875" style="80"/>
    <col min="2" max="2" width="16.77734375" style="80" customWidth="1"/>
    <col min="3" max="3" width="16.109375" style="80" customWidth="1"/>
    <col min="4" max="4" width="11.77734375" style="80" customWidth="1"/>
    <col min="5" max="5" width="12" style="80" customWidth="1"/>
    <col min="6" max="7" width="11.77734375" style="80" customWidth="1"/>
    <col min="8" max="16384" width="8.88671875" style="80"/>
  </cols>
  <sheetData>
    <row r="1" spans="1:7">
      <c r="A1" s="84"/>
      <c r="B1" s="253" t="str">
        <f>inputPrYr!D3</f>
        <v>City of Bonner Springs</v>
      </c>
      <c r="C1" s="253"/>
      <c r="D1" s="84"/>
      <c r="E1" s="84"/>
      <c r="F1" s="84"/>
      <c r="G1" s="84">
        <f>inputPrYr!C10</f>
        <v>2014</v>
      </c>
    </row>
    <row r="2" spans="1:7">
      <c r="A2" s="84"/>
      <c r="B2" s="253"/>
      <c r="C2" s="253"/>
      <c r="D2" s="84"/>
      <c r="E2" s="84"/>
      <c r="F2" s="84"/>
      <c r="G2" s="84"/>
    </row>
    <row r="3" spans="1:7">
      <c r="A3" s="84"/>
      <c r="B3" s="84"/>
      <c r="C3" s="84"/>
      <c r="D3" s="84"/>
      <c r="E3" s="84"/>
      <c r="F3" s="84"/>
      <c r="G3" s="84"/>
    </row>
    <row r="4" spans="1:7">
      <c r="A4" s="84"/>
      <c r="B4" s="900" t="s">
        <v>865</v>
      </c>
      <c r="C4" s="900"/>
      <c r="D4" s="900"/>
      <c r="E4" s="900"/>
      <c r="F4" s="900"/>
      <c r="G4" s="84"/>
    </row>
    <row r="5" spans="1:7">
      <c r="A5" s="84"/>
      <c r="B5" s="84"/>
      <c r="C5" s="254"/>
      <c r="D5" s="255"/>
      <c r="E5" s="255"/>
      <c r="F5" s="84"/>
      <c r="G5" s="84"/>
    </row>
    <row r="6" spans="1:7" ht="21" customHeight="1">
      <c r="A6" s="84"/>
      <c r="B6" s="256" t="s">
        <v>112</v>
      </c>
      <c r="C6" s="257" t="s">
        <v>351</v>
      </c>
      <c r="D6" s="897" t="str">
        <f>CONCATENATE("Allocation for Year ",G1,"")</f>
        <v>Allocation for Year 2014</v>
      </c>
      <c r="E6" s="898"/>
      <c r="F6" s="899"/>
      <c r="G6" s="84"/>
    </row>
    <row r="7" spans="1:7">
      <c r="A7" s="84"/>
      <c r="B7" s="258" t="str">
        <f>CONCATENATE("for ",G1-1,"")</f>
        <v>for 2013</v>
      </c>
      <c r="C7" s="258" t="str">
        <f>CONCATENATE("Amount for ",G1-2,"")</f>
        <v>Amount for 2012</v>
      </c>
      <c r="D7" s="208" t="s">
        <v>10</v>
      </c>
      <c r="E7" s="208" t="s">
        <v>11</v>
      </c>
      <c r="F7" s="208" t="s">
        <v>9</v>
      </c>
      <c r="G7" s="483"/>
    </row>
    <row r="8" spans="1:7">
      <c r="A8" s="84"/>
      <c r="B8" s="124" t="str">
        <f>(inputPrYr!B22)</f>
        <v>General</v>
      </c>
      <c r="C8" s="303">
        <f>(inputPrYr!E22)</f>
        <v>1226709</v>
      </c>
      <c r="D8" s="303">
        <f>IF(inputPrYr!E22=0,0,D13-SUM(D9:D10))</f>
        <v>146747.25</v>
      </c>
      <c r="E8" s="303">
        <f>IF(inputPrYr!E22=0,0,E15-SUM(E9:E10))</f>
        <v>939</v>
      </c>
      <c r="F8" s="303">
        <f>IF(inputPrYr!E22=0,0,F17-SUM(F9:F10))</f>
        <v>976.62999999999988</v>
      </c>
      <c r="G8" s="487"/>
    </row>
    <row r="9" spans="1:7">
      <c r="A9" s="84"/>
      <c r="B9" s="124" t="str">
        <f>IF(inputPrYr!$B23&gt;"  ",(inputPrYr!$B23),"  ")</f>
        <v>Debt Service</v>
      </c>
      <c r="C9" s="303">
        <f>IF(inputPrYr!$E23&gt;0,(inputPrYr!$E23),"  ")</f>
        <v>471744</v>
      </c>
      <c r="D9" s="303">
        <f>IF(inputPrYr!E23&gt;0,ROUND(C9*$D$20,0),"  ")</f>
        <v>56433</v>
      </c>
      <c r="E9" s="303">
        <f>IF(inputPrYr!E23&gt;0,ROUND(+C9*E$21,0)," ")</f>
        <v>361</v>
      </c>
      <c r="F9" s="303">
        <f>IF(inputPrYr!E23&gt;0,ROUND(C9*F$22,0)," ")</f>
        <v>375</v>
      </c>
      <c r="G9" s="487"/>
    </row>
    <row r="10" spans="1:7">
      <c r="A10" s="84"/>
      <c r="B10" s="124" t="str">
        <f>IF(inputPrYr!$B24&gt;"  ",(inputPrYr!$B24),"  ")</f>
        <v>Library</v>
      </c>
      <c r="C10" s="303">
        <f>IF(inputPrYr!$E24&gt;0,(inputPrYr!$E24),"  ")</f>
        <v>327283</v>
      </c>
      <c r="D10" s="303">
        <f>IF(inputPrYr!E24&gt;0,ROUND(C10*$D$20,0),"  ")</f>
        <v>39152</v>
      </c>
      <c r="E10" s="303">
        <f>IF(inputPrYr!E24&gt;0,ROUND(+C10*E$21,0)," ")</f>
        <v>250</v>
      </c>
      <c r="F10" s="303">
        <f>IF(inputPrYr!E24&gt;0,ROUND(+C10*F$22,0)," ")</f>
        <v>260</v>
      </c>
      <c r="G10" s="487"/>
    </row>
    <row r="11" spans="1:7" ht="16.5" thickBot="1">
      <c r="A11" s="84"/>
      <c r="B11" s="84" t="s">
        <v>277</v>
      </c>
      <c r="C11" s="259">
        <f>SUM(C8:C10)</f>
        <v>2025736</v>
      </c>
      <c r="D11" s="259">
        <f>SUM(D8:D10)</f>
        <v>242332.25</v>
      </c>
      <c r="E11" s="259">
        <f>SUM(E8:E10)</f>
        <v>1550</v>
      </c>
      <c r="F11" s="259">
        <f>SUM(F8:F10)</f>
        <v>1611.6299999999999</v>
      </c>
      <c r="G11" s="84"/>
    </row>
    <row r="12" spans="1:7" ht="16.5" thickTop="1">
      <c r="A12" s="84"/>
      <c r="B12" s="84"/>
      <c r="C12" s="114"/>
      <c r="D12" s="114"/>
      <c r="E12" s="114"/>
      <c r="F12" s="114"/>
      <c r="G12" s="84"/>
    </row>
    <row r="13" spans="1:7">
      <c r="A13" s="84"/>
      <c r="B13" s="91" t="s">
        <v>278</v>
      </c>
      <c r="C13" s="260"/>
      <c r="D13" s="261">
        <f>(inputOth!C51)</f>
        <v>242332.25</v>
      </c>
      <c r="E13" s="260"/>
      <c r="F13" s="84"/>
      <c r="G13" s="84"/>
    </row>
    <row r="14" spans="1:7">
      <c r="A14" s="84"/>
      <c r="B14" s="91"/>
      <c r="C14" s="260"/>
      <c r="D14" s="114"/>
      <c r="E14" s="260"/>
      <c r="F14" s="84"/>
      <c r="G14" s="84"/>
    </row>
    <row r="15" spans="1:7">
      <c r="A15" s="84"/>
      <c r="B15" s="91" t="s">
        <v>279</v>
      </c>
      <c r="C15" s="84"/>
      <c r="D15" s="84"/>
      <c r="E15" s="261">
        <f>(inputOth!D51)</f>
        <v>1550</v>
      </c>
      <c r="F15" s="84"/>
      <c r="G15" s="84"/>
    </row>
    <row r="16" spans="1:7">
      <c r="A16" s="84"/>
      <c r="B16" s="91"/>
      <c r="C16" s="84"/>
      <c r="D16" s="84"/>
      <c r="E16" s="114"/>
      <c r="F16" s="84"/>
      <c r="G16" s="84"/>
    </row>
    <row r="17" spans="1:7">
      <c r="A17" s="84"/>
      <c r="B17" s="91" t="s">
        <v>12</v>
      </c>
      <c r="C17" s="84"/>
      <c r="D17" s="84"/>
      <c r="E17" s="84"/>
      <c r="F17" s="261">
        <f>inputOth!E51</f>
        <v>1611.6299999999999</v>
      </c>
      <c r="G17" s="84"/>
    </row>
    <row r="18" spans="1:7">
      <c r="A18" s="84"/>
      <c r="B18" s="91"/>
      <c r="C18" s="84"/>
      <c r="D18" s="84"/>
      <c r="E18" s="84"/>
      <c r="F18" s="114"/>
      <c r="G18" s="84"/>
    </row>
    <row r="19" spans="1:7">
      <c r="A19" s="84"/>
      <c r="B19" s="91"/>
      <c r="C19" s="84"/>
      <c r="D19" s="84"/>
      <c r="E19" s="84"/>
      <c r="F19" s="114"/>
      <c r="G19" s="262"/>
    </row>
    <row r="20" spans="1:7">
      <c r="A20" s="84"/>
      <c r="B20" s="91" t="s">
        <v>280</v>
      </c>
      <c r="C20" s="84"/>
      <c r="D20" s="263">
        <f>IF(C11=0,0,D13/C11)</f>
        <v>0.11962676775256005</v>
      </c>
      <c r="E20" s="84"/>
      <c r="F20" s="84"/>
      <c r="G20" s="84"/>
    </row>
    <row r="21" spans="1:7">
      <c r="A21" s="84"/>
      <c r="B21" s="84"/>
      <c r="C21" s="91" t="s">
        <v>281</v>
      </c>
      <c r="D21" s="84"/>
      <c r="E21" s="263">
        <f>IF(C11=0,0,E15/C11)</f>
        <v>7.6515399834924201E-4</v>
      </c>
      <c r="F21" s="84"/>
      <c r="G21" s="84"/>
    </row>
    <row r="22" spans="1:7">
      <c r="A22" s="84"/>
      <c r="B22" s="84"/>
      <c r="C22" s="84"/>
      <c r="D22" s="91" t="s">
        <v>13</v>
      </c>
      <c r="E22" s="84"/>
      <c r="F22" s="263">
        <f>IF(C11=0,0,F17/C11)</f>
        <v>7.9557750861908945E-4</v>
      </c>
      <c r="G22" s="84"/>
    </row>
    <row r="23" spans="1:7">
      <c r="A23" s="84"/>
      <c r="B23" s="107"/>
      <c r="C23" s="107"/>
      <c r="D23" s="107"/>
      <c r="E23" s="107"/>
      <c r="F23" s="107"/>
      <c r="G23" s="107"/>
    </row>
    <row r="24" spans="1:7" ht="15" customHeight="1">
      <c r="A24" s="84"/>
      <c r="B24" s="107"/>
      <c r="C24" s="107"/>
      <c r="D24" s="107"/>
      <c r="E24" s="107"/>
      <c r="F24" s="107"/>
      <c r="G24" s="107"/>
    </row>
    <row r="25" spans="1:7" s="264" customFormat="1" ht="15" customHeight="1">
      <c r="B25" s="144"/>
      <c r="C25" s="144"/>
      <c r="D25" s="144"/>
      <c r="E25" s="144"/>
      <c r="F25" s="144"/>
      <c r="G25" s="144"/>
    </row>
    <row r="26" spans="1:7" ht="15" customHeight="1">
      <c r="B26" s="144"/>
      <c r="C26" s="144"/>
      <c r="D26" s="144"/>
      <c r="E26" s="144"/>
      <c r="F26" s="144"/>
      <c r="G26" s="144"/>
    </row>
    <row r="27" spans="1:7" ht="15" customHeight="1">
      <c r="B27" s="144"/>
      <c r="C27" s="144"/>
      <c r="D27" s="144"/>
      <c r="E27" s="144"/>
      <c r="F27" s="144"/>
      <c r="G27" s="144"/>
    </row>
    <row r="28" spans="1:7" ht="15" customHeight="1">
      <c r="B28" s="144"/>
      <c r="C28" s="144"/>
      <c r="D28" s="144"/>
      <c r="E28" s="144"/>
      <c r="F28" s="144"/>
      <c r="G28" s="144"/>
    </row>
    <row r="29" spans="1:7" ht="15" customHeight="1">
      <c r="B29" s="144"/>
      <c r="C29" s="144"/>
      <c r="D29" s="144"/>
      <c r="E29" s="144"/>
      <c r="F29" s="144"/>
      <c r="G29" s="144"/>
    </row>
    <row r="30" spans="1:7" ht="15" customHeight="1">
      <c r="B30" s="144"/>
      <c r="C30" s="144"/>
      <c r="D30" s="144"/>
      <c r="E30" s="144"/>
      <c r="F30" s="144"/>
      <c r="G30" s="144"/>
    </row>
    <row r="31" spans="1:7" ht="15" customHeight="1">
      <c r="B31" s="144"/>
      <c r="C31" s="144"/>
      <c r="D31" s="144"/>
      <c r="E31" s="144"/>
      <c r="F31" s="144"/>
      <c r="G31" s="144"/>
    </row>
    <row r="32" spans="1:7" ht="15" customHeight="1">
      <c r="B32" s="144"/>
      <c r="C32" s="144"/>
      <c r="D32" s="144"/>
      <c r="E32" s="144"/>
      <c r="F32" s="144"/>
      <c r="G32" s="144"/>
    </row>
    <row r="33" spans="2:7" ht="15" customHeight="1">
      <c r="B33" s="144"/>
      <c r="C33" s="144"/>
      <c r="D33" s="144"/>
      <c r="E33" s="144"/>
      <c r="F33" s="144"/>
      <c r="G33" s="144"/>
    </row>
    <row r="34" spans="2:7" ht="15" customHeight="1">
      <c r="B34" s="144"/>
      <c r="C34" s="144"/>
      <c r="D34" s="144"/>
      <c r="E34" s="144"/>
      <c r="F34" s="144"/>
      <c r="G34" s="144"/>
    </row>
    <row r="35" spans="2:7" ht="15" customHeight="1">
      <c r="B35" s="144"/>
      <c r="C35" s="144"/>
      <c r="D35" s="144"/>
      <c r="E35" s="144"/>
      <c r="F35" s="144"/>
      <c r="G35" s="144"/>
    </row>
    <row r="36" spans="2:7" ht="15" customHeight="1">
      <c r="B36" s="144"/>
      <c r="C36" s="144"/>
      <c r="D36" s="144"/>
      <c r="E36" s="144"/>
      <c r="F36" s="144"/>
      <c r="G36" s="144"/>
    </row>
    <row r="37" spans="2:7" ht="15" customHeight="1">
      <c r="B37" s="144"/>
      <c r="C37" s="144"/>
      <c r="D37" s="144"/>
      <c r="E37" s="144"/>
      <c r="F37" s="144"/>
      <c r="G37" s="144"/>
    </row>
    <row r="38" spans="2:7" ht="15" customHeight="1">
      <c r="B38" s="144"/>
      <c r="C38" s="144"/>
      <c r="D38" s="144"/>
      <c r="E38" s="144"/>
      <c r="F38" s="144"/>
      <c r="G38" s="144"/>
    </row>
    <row r="39" spans="2:7" ht="15" customHeight="1">
      <c r="B39" s="144"/>
      <c r="C39" s="144"/>
      <c r="D39" s="144"/>
      <c r="E39" s="144"/>
      <c r="F39" s="144"/>
      <c r="G39" s="144"/>
    </row>
    <row r="40" spans="2:7">
      <c r="B40" s="144"/>
      <c r="C40" s="144"/>
      <c r="D40" s="144"/>
      <c r="E40" s="144"/>
      <c r="F40" s="144"/>
      <c r="G40" s="144"/>
    </row>
    <row r="41" spans="2:7">
      <c r="B41" s="144"/>
      <c r="C41" s="144"/>
      <c r="D41" s="144"/>
      <c r="E41" s="144"/>
      <c r="F41" s="144"/>
      <c r="G41" s="144"/>
    </row>
    <row r="42" spans="2:7">
      <c r="B42" s="144"/>
      <c r="C42" s="144"/>
      <c r="D42" s="144"/>
      <c r="E42" s="144"/>
      <c r="F42" s="144"/>
      <c r="G42" s="144"/>
    </row>
    <row r="43" spans="2:7">
      <c r="B43" s="144"/>
      <c r="C43" s="144"/>
      <c r="D43" s="144"/>
      <c r="E43" s="144"/>
      <c r="F43" s="144"/>
      <c r="G43" s="144"/>
    </row>
    <row r="44" spans="2:7">
      <c r="B44" s="144"/>
      <c r="C44" s="144"/>
      <c r="D44" s="144"/>
      <c r="E44" s="144"/>
      <c r="F44" s="144"/>
      <c r="G44" s="144"/>
    </row>
    <row r="45" spans="2:7">
      <c r="B45" s="144"/>
      <c r="C45" s="144"/>
      <c r="D45" s="144"/>
      <c r="E45" s="144"/>
      <c r="F45" s="144"/>
      <c r="G45" s="144"/>
    </row>
    <row r="46" spans="2:7">
      <c r="B46" s="144"/>
      <c r="C46" s="144"/>
      <c r="D46" s="144"/>
      <c r="E46" s="144"/>
      <c r="F46" s="144"/>
      <c r="G46" s="144"/>
    </row>
    <row r="47" spans="2:7">
      <c r="B47" s="144"/>
      <c r="C47" s="144"/>
      <c r="D47" s="144"/>
      <c r="E47" s="144"/>
      <c r="F47" s="144"/>
      <c r="G47" s="144"/>
    </row>
  </sheetData>
  <mergeCells count="2">
    <mergeCell ref="D6:F6"/>
    <mergeCell ref="B4:F4"/>
  </mergeCells>
  <phoneticPr fontId="0" type="noConversion"/>
  <pageMargins left="0.5" right="0.5" top="0.5" bottom="0.25" header="0" footer="0.25"/>
  <pageSetup scale="84" orientation="portrait" blackAndWhite="1" horizontalDpi="120" verticalDpi="144" r:id="rId1"/>
  <headerFooter alignWithMargins="0">
    <oddHeader xml:space="preserve">&amp;RState of Kansas
City
</oddHeader>
    <oddFooter>&amp;CPage No. 3</oddFooter>
  </headerFooter>
</worksheet>
</file>

<file path=xl/worksheets/sheet8.xml><?xml version="1.0" encoding="utf-8"?>
<worksheet xmlns="http://schemas.openxmlformats.org/spreadsheetml/2006/main" xmlns:r="http://schemas.openxmlformats.org/officeDocument/2006/relationships">
  <dimension ref="A1:F45"/>
  <sheetViews>
    <sheetView workbookViewId="0">
      <selection activeCell="A34" sqref="A34"/>
    </sheetView>
  </sheetViews>
  <sheetFormatPr defaultColWidth="8.88671875" defaultRowHeight="15.75"/>
  <cols>
    <col min="1" max="1" width="19" style="68" customWidth="1"/>
    <col min="2" max="2" width="21.109375" style="68" customWidth="1"/>
    <col min="3" max="3" width="12.44140625" style="68" customWidth="1"/>
    <col min="4" max="5" width="12.109375" style="68" customWidth="1"/>
    <col min="6" max="6" width="10.88671875" style="68" customWidth="1"/>
    <col min="7" max="16384" width="8.88671875" style="68"/>
  </cols>
  <sheetData>
    <row r="1" spans="1:6">
      <c r="A1" s="145" t="str">
        <f>inputPrYr!D3</f>
        <v>City of Bonner Springs</v>
      </c>
      <c r="B1" s="145"/>
      <c r="C1" s="146"/>
      <c r="D1" s="146"/>
      <c r="E1" s="146"/>
      <c r="F1" s="146">
        <f>inputPrYr!$C$10</f>
        <v>2014</v>
      </c>
    </row>
    <row r="2" spans="1:6">
      <c r="A2" s="901" t="s">
        <v>62</v>
      </c>
      <c r="B2" s="901"/>
      <c r="C2" s="901"/>
      <c r="D2" s="901"/>
      <c r="E2" s="901"/>
      <c r="F2" s="901"/>
    </row>
    <row r="3" spans="1:6">
      <c r="A3" s="265" t="s">
        <v>646</v>
      </c>
      <c r="B3" s="265" t="s">
        <v>647</v>
      </c>
      <c r="C3" s="265" t="s">
        <v>302</v>
      </c>
      <c r="D3" s="265" t="s">
        <v>75</v>
      </c>
      <c r="E3" s="265" t="s">
        <v>76</v>
      </c>
      <c r="F3" s="265" t="s">
        <v>105</v>
      </c>
    </row>
    <row r="4" spans="1:6">
      <c r="A4" s="266" t="s">
        <v>648</v>
      </c>
      <c r="B4" s="266" t="s">
        <v>649</v>
      </c>
      <c r="C4" s="266" t="s">
        <v>106</v>
      </c>
      <c r="D4" s="266" t="s">
        <v>106</v>
      </c>
      <c r="E4" s="266" t="s">
        <v>106</v>
      </c>
      <c r="F4" s="266" t="s">
        <v>107</v>
      </c>
    </row>
    <row r="5" spans="1:6" ht="15" customHeight="1">
      <c r="A5" s="267" t="s">
        <v>108</v>
      </c>
      <c r="B5" s="267" t="s">
        <v>109</v>
      </c>
      <c r="C5" s="268">
        <f>F1-2</f>
        <v>2012</v>
      </c>
      <c r="D5" s="268">
        <f>F1-1</f>
        <v>2013</v>
      </c>
      <c r="E5" s="268">
        <f>F1</f>
        <v>2014</v>
      </c>
      <c r="F5" s="267" t="s">
        <v>110</v>
      </c>
    </row>
    <row r="6" spans="1:6" ht="14.25" customHeight="1">
      <c r="A6" s="269" t="s">
        <v>1041</v>
      </c>
      <c r="B6" s="269" t="s">
        <v>1042</v>
      </c>
      <c r="C6" s="571">
        <v>315631</v>
      </c>
      <c r="D6" s="571">
        <v>394947</v>
      </c>
      <c r="E6" s="571">
        <v>421020</v>
      </c>
      <c r="F6" s="270" t="s">
        <v>1190</v>
      </c>
    </row>
    <row r="7" spans="1:6" ht="15" customHeight="1">
      <c r="A7" s="271" t="s">
        <v>1041</v>
      </c>
      <c r="B7" s="271" t="s">
        <v>1043</v>
      </c>
      <c r="C7" s="572">
        <v>36637</v>
      </c>
      <c r="D7" s="572">
        <v>41000</v>
      </c>
      <c r="E7" s="572">
        <v>41830</v>
      </c>
      <c r="F7" s="270" t="s">
        <v>1190</v>
      </c>
    </row>
    <row r="8" spans="1:6" ht="15" customHeight="1">
      <c r="A8" s="271" t="s">
        <v>1041</v>
      </c>
      <c r="B8" s="271" t="s">
        <v>1044</v>
      </c>
      <c r="C8" s="572">
        <v>112441</v>
      </c>
      <c r="D8" s="572">
        <v>68345</v>
      </c>
      <c r="E8" s="572">
        <v>78124</v>
      </c>
      <c r="F8" s="270" t="s">
        <v>1190</v>
      </c>
    </row>
    <row r="9" spans="1:6" ht="15" customHeight="1">
      <c r="A9" s="271" t="s">
        <v>1041</v>
      </c>
      <c r="B9" s="271" t="s">
        <v>1045</v>
      </c>
      <c r="C9" s="572">
        <v>20653</v>
      </c>
      <c r="D9" s="572">
        <v>32570</v>
      </c>
      <c r="E9" s="572">
        <v>23208</v>
      </c>
      <c r="F9" s="270" t="s">
        <v>1190</v>
      </c>
    </row>
    <row r="10" spans="1:6" ht="28.9" customHeight="1">
      <c r="A10" s="271" t="s">
        <v>1041</v>
      </c>
      <c r="B10" s="802" t="s">
        <v>1046</v>
      </c>
      <c r="C10" s="572">
        <v>18144</v>
      </c>
      <c r="D10" s="572">
        <v>33000</v>
      </c>
      <c r="E10" s="572">
        <v>33000</v>
      </c>
      <c r="F10" s="270" t="s">
        <v>1190</v>
      </c>
    </row>
    <row r="11" spans="1:6" ht="15" customHeight="1">
      <c r="A11" s="271" t="s">
        <v>1041</v>
      </c>
      <c r="B11" s="271" t="s">
        <v>1047</v>
      </c>
      <c r="C11" s="572">
        <v>276922</v>
      </c>
      <c r="D11" s="572">
        <v>250428</v>
      </c>
      <c r="E11" s="572">
        <v>208928</v>
      </c>
      <c r="F11" s="270" t="s">
        <v>1190</v>
      </c>
    </row>
    <row r="12" spans="1:6" ht="15" customHeight="1">
      <c r="A12" s="271" t="s">
        <v>1041</v>
      </c>
      <c r="B12" s="271" t="s">
        <v>1048</v>
      </c>
      <c r="C12" s="572">
        <v>11888</v>
      </c>
      <c r="D12" s="572">
        <v>12500</v>
      </c>
      <c r="E12" s="572">
        <v>10000</v>
      </c>
      <c r="F12" s="270" t="s">
        <v>1190</v>
      </c>
    </row>
    <row r="13" spans="1:6" s="819" customFormat="1" ht="15" customHeight="1">
      <c r="A13" s="816" t="s">
        <v>1049</v>
      </c>
      <c r="B13" s="816"/>
      <c r="C13" s="817">
        <f>SUM(C6:C12)</f>
        <v>792316</v>
      </c>
      <c r="D13" s="817">
        <f>SUM(D6:D12)</f>
        <v>832790</v>
      </c>
      <c r="E13" s="817">
        <f>SUM(E6:E12)</f>
        <v>816110</v>
      </c>
      <c r="F13" s="818"/>
    </row>
    <row r="14" spans="1:6" ht="15" customHeight="1">
      <c r="A14" s="271"/>
      <c r="B14" s="271"/>
      <c r="C14" s="572"/>
      <c r="D14" s="572"/>
      <c r="E14" s="572"/>
      <c r="F14" s="270"/>
    </row>
    <row r="15" spans="1:6" ht="15" customHeight="1">
      <c r="A15" s="271" t="s">
        <v>1154</v>
      </c>
      <c r="B15" s="271" t="s">
        <v>1041</v>
      </c>
      <c r="C15" s="572">
        <v>50800</v>
      </c>
      <c r="D15" s="572">
        <v>54325</v>
      </c>
      <c r="E15" s="572">
        <v>56250</v>
      </c>
      <c r="F15" s="270" t="s">
        <v>1190</v>
      </c>
    </row>
    <row r="16" spans="1:6" ht="15" customHeight="1">
      <c r="A16" s="271" t="s">
        <v>1177</v>
      </c>
      <c r="B16" s="271" t="s">
        <v>1041</v>
      </c>
      <c r="C16" s="572">
        <v>30500</v>
      </c>
      <c r="D16" s="572">
        <v>10500</v>
      </c>
      <c r="E16" s="572">
        <v>10500</v>
      </c>
      <c r="F16" s="270" t="s">
        <v>1191</v>
      </c>
    </row>
    <row r="17" spans="1:6" ht="15" customHeight="1">
      <c r="A17" s="271" t="s">
        <v>1048</v>
      </c>
      <c r="B17" s="271" t="s">
        <v>1041</v>
      </c>
      <c r="C17" s="572">
        <v>29015</v>
      </c>
      <c r="D17" s="572">
        <f>1200+32033</f>
        <v>33233</v>
      </c>
      <c r="E17" s="572">
        <f>1200+32300</f>
        <v>33500</v>
      </c>
      <c r="F17" s="270" t="s">
        <v>1191</v>
      </c>
    </row>
    <row r="18" spans="1:6" ht="15" customHeight="1">
      <c r="A18" s="271" t="s">
        <v>1187</v>
      </c>
      <c r="B18" s="271" t="s">
        <v>1041</v>
      </c>
      <c r="C18" s="572">
        <v>87045</v>
      </c>
      <c r="D18" s="572">
        <f>560+96100</f>
        <v>96660</v>
      </c>
      <c r="E18" s="572">
        <f>560+96900</f>
        <v>97460</v>
      </c>
      <c r="F18" s="270" t="s">
        <v>1191</v>
      </c>
    </row>
    <row r="19" spans="1:6" s="819" customFormat="1" ht="15" customHeight="1">
      <c r="A19" s="816" t="s">
        <v>1188</v>
      </c>
      <c r="B19" s="816" t="s">
        <v>260</v>
      </c>
      <c r="C19" s="817">
        <f>SUM(C15:C18)</f>
        <v>197360</v>
      </c>
      <c r="D19" s="817">
        <f t="shared" ref="D19:E19" si="0">SUM(D15:D18)</f>
        <v>194718</v>
      </c>
      <c r="E19" s="817">
        <f t="shared" si="0"/>
        <v>197710</v>
      </c>
      <c r="F19" s="818"/>
    </row>
    <row r="20" spans="1:6" ht="15" customHeight="1">
      <c r="A20" s="271" t="s">
        <v>260</v>
      </c>
      <c r="B20" s="271" t="s">
        <v>260</v>
      </c>
      <c r="C20" s="572" t="s">
        <v>260</v>
      </c>
      <c r="D20" s="572" t="s">
        <v>260</v>
      </c>
      <c r="E20" s="572" t="s">
        <v>260</v>
      </c>
      <c r="F20" s="270"/>
    </row>
    <row r="21" spans="1:6" ht="15" customHeight="1">
      <c r="A21" s="271" t="s">
        <v>1041</v>
      </c>
      <c r="B21" s="271" t="s">
        <v>1227</v>
      </c>
      <c r="C21" s="572">
        <v>4000</v>
      </c>
      <c r="D21" s="572">
        <v>0</v>
      </c>
      <c r="E21" s="572">
        <v>0</v>
      </c>
      <c r="F21" s="270" t="s">
        <v>1190</v>
      </c>
    </row>
    <row r="22" spans="1:6" ht="15" customHeight="1">
      <c r="A22" s="271" t="s">
        <v>1147</v>
      </c>
      <c r="B22" s="271" t="s">
        <v>1047</v>
      </c>
      <c r="C22" s="572">
        <v>0</v>
      </c>
      <c r="D22" s="572">
        <v>0</v>
      </c>
      <c r="E22" s="572">
        <v>1315</v>
      </c>
      <c r="F22" s="270" t="s">
        <v>1190</v>
      </c>
    </row>
    <row r="23" spans="1:6" ht="15" customHeight="1">
      <c r="A23" s="271" t="s">
        <v>1147</v>
      </c>
      <c r="B23" s="271" t="s">
        <v>1227</v>
      </c>
      <c r="C23" s="572">
        <v>24783</v>
      </c>
      <c r="D23" s="572">
        <v>0</v>
      </c>
      <c r="E23" s="572">
        <v>0</v>
      </c>
      <c r="F23" s="270" t="s">
        <v>1190</v>
      </c>
    </row>
    <row r="24" spans="1:6" ht="15" customHeight="1">
      <c r="A24" s="271" t="s">
        <v>1230</v>
      </c>
      <c r="B24" s="271" t="s">
        <v>1227</v>
      </c>
      <c r="C24" s="572">
        <v>43349</v>
      </c>
      <c r="D24" s="572">
        <v>0</v>
      </c>
      <c r="E24" s="572">
        <v>0</v>
      </c>
      <c r="F24" s="270" t="s">
        <v>1190</v>
      </c>
    </row>
    <row r="25" spans="1:6" ht="15" customHeight="1">
      <c r="A25" s="271" t="s">
        <v>1146</v>
      </c>
      <c r="B25" s="271" t="s">
        <v>217</v>
      </c>
      <c r="C25" s="572">
        <v>442168</v>
      </c>
      <c r="D25" s="572">
        <v>441968</v>
      </c>
      <c r="E25" s="572">
        <v>892294</v>
      </c>
      <c r="F25" s="270" t="s">
        <v>1190</v>
      </c>
    </row>
    <row r="26" spans="1:6" ht="15" customHeight="1">
      <c r="A26" s="271" t="s">
        <v>1154</v>
      </c>
      <c r="B26" s="271" t="s">
        <v>1228</v>
      </c>
      <c r="C26" s="572">
        <v>2000</v>
      </c>
      <c r="D26" s="572">
        <v>0</v>
      </c>
      <c r="E26" s="572">
        <v>0</v>
      </c>
      <c r="F26" s="270" t="s">
        <v>1190</v>
      </c>
    </row>
    <row r="27" spans="1:6" ht="15" customHeight="1">
      <c r="A27" s="271" t="s">
        <v>1148</v>
      </c>
      <c r="B27" s="271" t="s">
        <v>217</v>
      </c>
      <c r="C27" s="572">
        <v>543123</v>
      </c>
      <c r="D27" s="572">
        <v>537319</v>
      </c>
      <c r="E27" s="572">
        <v>566169</v>
      </c>
      <c r="F27" s="270" t="s">
        <v>1191</v>
      </c>
    </row>
    <row r="28" spans="1:6" ht="15" customHeight="1">
      <c r="A28" s="271" t="s">
        <v>1149</v>
      </c>
      <c r="B28" s="271" t="s">
        <v>217</v>
      </c>
      <c r="C28" s="572">
        <v>319032</v>
      </c>
      <c r="D28" s="572">
        <v>303001</v>
      </c>
      <c r="E28" s="572">
        <v>389407</v>
      </c>
      <c r="F28" s="270" t="s">
        <v>1191</v>
      </c>
    </row>
    <row r="29" spans="1:6" ht="15" customHeight="1">
      <c r="A29" s="271" t="s">
        <v>1150</v>
      </c>
      <c r="B29" s="271" t="s">
        <v>217</v>
      </c>
      <c r="C29" s="572">
        <v>429840</v>
      </c>
      <c r="D29" s="572">
        <v>387470</v>
      </c>
      <c r="E29" s="572">
        <v>437940</v>
      </c>
      <c r="F29" s="270" t="s">
        <v>1192</v>
      </c>
    </row>
    <row r="30" spans="1:6" ht="15" customHeight="1">
      <c r="A30" s="271" t="s">
        <v>1151</v>
      </c>
      <c r="B30" s="271" t="s">
        <v>217</v>
      </c>
      <c r="C30" s="572">
        <v>0</v>
      </c>
      <c r="D30" s="572">
        <v>49060</v>
      </c>
      <c r="E30" s="572">
        <v>0</v>
      </c>
      <c r="F30" s="270" t="s">
        <v>1190</v>
      </c>
    </row>
    <row r="31" spans="1:6" ht="15" customHeight="1">
      <c r="A31" s="271" t="s">
        <v>1229</v>
      </c>
      <c r="B31" s="271" t="s">
        <v>217</v>
      </c>
      <c r="C31" s="572">
        <v>191601</v>
      </c>
      <c r="D31" s="572">
        <v>0</v>
      </c>
      <c r="E31" s="572">
        <v>0</v>
      </c>
      <c r="F31" s="270" t="s">
        <v>1190</v>
      </c>
    </row>
    <row r="32" spans="1:6" ht="15" customHeight="1">
      <c r="A32" s="271" t="s">
        <v>1229</v>
      </c>
      <c r="B32" s="271" t="s">
        <v>217</v>
      </c>
      <c r="C32" s="572">
        <v>141260</v>
      </c>
      <c r="D32" s="572">
        <v>0</v>
      </c>
      <c r="E32" s="572">
        <v>0</v>
      </c>
      <c r="F32" s="270" t="s">
        <v>1190</v>
      </c>
    </row>
    <row r="33" spans="1:6" ht="15" customHeight="1">
      <c r="A33" s="271" t="s">
        <v>1152</v>
      </c>
      <c r="B33" s="271" t="s">
        <v>217</v>
      </c>
      <c r="C33" s="572">
        <v>19961</v>
      </c>
      <c r="D33" s="572">
        <v>19743</v>
      </c>
      <c r="E33" s="572">
        <v>19828</v>
      </c>
      <c r="F33" s="270" t="s">
        <v>1191</v>
      </c>
    </row>
    <row r="34" spans="1:6" ht="15" customHeight="1">
      <c r="A34" s="271" t="s">
        <v>1153</v>
      </c>
      <c r="B34" s="271" t="s">
        <v>217</v>
      </c>
      <c r="C34" s="572">
        <v>75438</v>
      </c>
      <c r="D34" s="572">
        <v>268044</v>
      </c>
      <c r="E34" s="572">
        <v>268501</v>
      </c>
      <c r="F34" s="270" t="s">
        <v>1190</v>
      </c>
    </row>
    <row r="35" spans="1:6" ht="15" customHeight="1">
      <c r="A35" s="271" t="s">
        <v>1091</v>
      </c>
      <c r="B35" s="271" t="s">
        <v>1092</v>
      </c>
      <c r="C35" s="572">
        <v>7262</v>
      </c>
      <c r="D35" s="572">
        <v>0</v>
      </c>
      <c r="E35" s="572">
        <v>0</v>
      </c>
      <c r="F35" s="270" t="s">
        <v>1190</v>
      </c>
    </row>
    <row r="36" spans="1:6" ht="15" customHeight="1">
      <c r="A36" s="271" t="s">
        <v>1091</v>
      </c>
      <c r="B36" s="271" t="s">
        <v>1044</v>
      </c>
      <c r="C36" s="572">
        <v>4681</v>
      </c>
      <c r="D36" s="572">
        <v>18900</v>
      </c>
      <c r="E36" s="572">
        <v>21200</v>
      </c>
      <c r="F36" s="270" t="s">
        <v>1190</v>
      </c>
    </row>
    <row r="37" spans="1:6" ht="15" customHeight="1">
      <c r="A37" s="271" t="s">
        <v>1091</v>
      </c>
      <c r="B37" s="271" t="s">
        <v>1093</v>
      </c>
      <c r="C37" s="572">
        <v>45714</v>
      </c>
      <c r="D37" s="572">
        <v>0</v>
      </c>
      <c r="E37" s="572">
        <v>0</v>
      </c>
      <c r="F37" s="270" t="s">
        <v>1190</v>
      </c>
    </row>
    <row r="38" spans="1:6" s="819" customFormat="1" ht="15" customHeight="1">
      <c r="A38" s="816" t="s">
        <v>1189</v>
      </c>
      <c r="B38" s="816" t="s">
        <v>260</v>
      </c>
      <c r="C38" s="817">
        <f>SUM(C21:C37)</f>
        <v>2294212</v>
      </c>
      <c r="D38" s="817">
        <f t="shared" ref="D38:E38" si="1">SUM(D21:D37)</f>
        <v>2025505</v>
      </c>
      <c r="E38" s="817">
        <f t="shared" si="1"/>
        <v>2596654</v>
      </c>
      <c r="F38" s="818"/>
    </row>
    <row r="39" spans="1:6" ht="15" customHeight="1">
      <c r="A39" s="137"/>
      <c r="B39" s="272" t="s">
        <v>271</v>
      </c>
      <c r="C39" s="273">
        <f>SUM(C13+C19+C38)</f>
        <v>3283888</v>
      </c>
      <c r="D39" s="273">
        <f t="shared" ref="D39:E39" si="2">SUM(D13+D19+D38)</f>
        <v>3053013</v>
      </c>
      <c r="E39" s="273">
        <f t="shared" si="2"/>
        <v>3610474</v>
      </c>
      <c r="F39" s="274"/>
    </row>
    <row r="40" spans="1:6" ht="15" customHeight="1">
      <c r="A40" s="137"/>
      <c r="B40" s="275" t="s">
        <v>644</v>
      </c>
      <c r="C40" s="215"/>
      <c r="D40" s="276"/>
      <c r="E40" s="276"/>
      <c r="F40" s="274"/>
    </row>
    <row r="41" spans="1:6" ht="15" customHeight="1">
      <c r="A41" s="137"/>
      <c r="B41" s="272" t="s">
        <v>111</v>
      </c>
      <c r="C41" s="273">
        <f>C39</f>
        <v>3283888</v>
      </c>
      <c r="D41" s="273">
        <f>SUM(D39-D40)</f>
        <v>3053013</v>
      </c>
      <c r="E41" s="273">
        <f>SUM(E39-E40)</f>
        <v>3610474</v>
      </c>
      <c r="F41" s="274"/>
    </row>
    <row r="42" spans="1:6" ht="15" customHeight="1">
      <c r="A42" s="137"/>
      <c r="B42" s="137"/>
      <c r="C42" s="137"/>
      <c r="D42" s="137"/>
      <c r="E42" s="137"/>
      <c r="F42" s="137"/>
    </row>
    <row r="43" spans="1:6" ht="15" customHeight="1">
      <c r="A43" s="137"/>
      <c r="B43" s="137"/>
      <c r="C43" s="137"/>
      <c r="D43" s="137"/>
      <c r="E43" s="137"/>
      <c r="F43" s="137"/>
    </row>
    <row r="44" spans="1:6" ht="15" customHeight="1">
      <c r="A44" s="426" t="s">
        <v>645</v>
      </c>
      <c r="B44" s="427" t="str">
        <f>CONCATENATE("Adjustments are required only if the transfer is being made in ",D5," and/or ",E5," from a non-budgeted fund.")</f>
        <v>Adjustments are required only if the transfer is being made in 2013 and/or 2014 from a non-budgeted fund.</v>
      </c>
      <c r="C44" s="137"/>
      <c r="D44" s="137"/>
      <c r="E44" s="137"/>
      <c r="F44" s="137"/>
    </row>
    <row r="45" spans="1:6" ht="15" customHeight="1"/>
  </sheetData>
  <mergeCells count="1">
    <mergeCell ref="A2:F2"/>
  </mergeCells>
  <phoneticPr fontId="9" type="noConversion"/>
  <pageMargins left="0.75" right="0.75" top="0.5" bottom="0.5" header="0.5" footer="0.5"/>
  <pageSetup scale="80" orientation="landscape" blackAndWhite="1" r:id="rId1"/>
  <headerFooter alignWithMargins="0">
    <oddHeader>&amp;RState of Kansas
City</oddHeader>
    <oddFooter>&amp;CPage No. 4</oddFooter>
  </headerFooter>
</worksheet>
</file>

<file path=xl/worksheets/sheet9.xml><?xml version="1.0" encoding="utf-8"?>
<worksheet xmlns="http://schemas.openxmlformats.org/spreadsheetml/2006/main" xmlns:r="http://schemas.openxmlformats.org/officeDocument/2006/relationships">
  <dimension ref="A1:A68"/>
  <sheetViews>
    <sheetView workbookViewId="0">
      <selection sqref="A1:IV65536"/>
    </sheetView>
  </sheetViews>
  <sheetFormatPr defaultColWidth="8.88671875" defaultRowHeight="15"/>
  <cols>
    <col min="1" max="1" width="70.5546875" style="313" customWidth="1"/>
    <col min="2" max="16384" width="8.88671875" style="313"/>
  </cols>
  <sheetData>
    <row r="1" spans="1:1" ht="18.75">
      <c r="A1" s="665" t="s">
        <v>377</v>
      </c>
    </row>
    <row r="2" spans="1:1" ht="18.75">
      <c r="A2" s="665"/>
    </row>
    <row r="3" spans="1:1" ht="18.75">
      <c r="A3" s="665"/>
    </row>
    <row r="4" spans="1:1" ht="51.75" customHeight="1">
      <c r="A4" s="666" t="s">
        <v>662</v>
      </c>
    </row>
    <row r="5" spans="1:1" ht="18.75">
      <c r="A5" s="665"/>
    </row>
    <row r="6" spans="1:1" ht="15.75">
      <c r="A6" s="314"/>
    </row>
    <row r="7" spans="1:1" ht="47.25">
      <c r="A7" s="315" t="s">
        <v>378</v>
      </c>
    </row>
    <row r="8" spans="1:1" ht="15.75">
      <c r="A8" s="314"/>
    </row>
    <row r="9" spans="1:1" ht="15.75">
      <c r="A9" s="314"/>
    </row>
    <row r="10" spans="1:1" ht="63">
      <c r="A10" s="315" t="s">
        <v>379</v>
      </c>
    </row>
    <row r="11" spans="1:1" ht="15.75">
      <c r="A11" s="667"/>
    </row>
    <row r="12" spans="1:1" ht="15.75">
      <c r="A12" s="314"/>
    </row>
    <row r="13" spans="1:1" ht="47.25">
      <c r="A13" s="315" t="s">
        <v>380</v>
      </c>
    </row>
    <row r="14" spans="1:1" ht="15.75">
      <c r="A14" s="667"/>
    </row>
    <row r="15" spans="1:1" ht="15.75">
      <c r="A15" s="314"/>
    </row>
    <row r="16" spans="1:1" ht="47.25">
      <c r="A16" s="315" t="s">
        <v>381</v>
      </c>
    </row>
    <row r="17" spans="1:1" ht="15.75">
      <c r="A17" s="667"/>
    </row>
    <row r="18" spans="1:1" ht="15.75">
      <c r="A18" s="667"/>
    </row>
    <row r="19" spans="1:1" ht="47.25">
      <c r="A19" s="315" t="s">
        <v>382</v>
      </c>
    </row>
    <row r="20" spans="1:1" ht="15.75">
      <c r="A20" s="667"/>
    </row>
    <row r="21" spans="1:1" ht="15.75">
      <c r="A21" s="667"/>
    </row>
    <row r="22" spans="1:1" ht="47.25">
      <c r="A22" s="315" t="s">
        <v>383</v>
      </c>
    </row>
    <row r="23" spans="1:1" ht="15.75">
      <c r="A23" s="667"/>
    </row>
    <row r="24" spans="1:1" ht="15.75">
      <c r="A24" s="667"/>
    </row>
    <row r="25" spans="1:1" ht="31.5">
      <c r="A25" s="315" t="s">
        <v>384</v>
      </c>
    </row>
    <row r="26" spans="1:1" ht="15.75">
      <c r="A26" s="314"/>
    </row>
    <row r="27" spans="1:1" ht="15.75">
      <c r="A27" s="314"/>
    </row>
    <row r="28" spans="1:1" ht="60">
      <c r="A28" s="668" t="s">
        <v>385</v>
      </c>
    </row>
    <row r="29" spans="1:1">
      <c r="A29" s="669"/>
    </row>
    <row r="30" spans="1:1">
      <c r="A30" s="669"/>
    </row>
    <row r="31" spans="1:1" ht="47.25">
      <c r="A31" s="315" t="s">
        <v>386</v>
      </c>
    </row>
    <row r="32" spans="1:1" ht="15.75">
      <c r="A32" s="314"/>
    </row>
    <row r="33" spans="1:1" ht="15.75">
      <c r="A33" s="314"/>
    </row>
    <row r="34" spans="1:1" ht="66.75" customHeight="1">
      <c r="A34" s="670" t="s">
        <v>663</v>
      </c>
    </row>
    <row r="35" spans="1:1" ht="15.75">
      <c r="A35" s="314"/>
    </row>
    <row r="36" spans="1:1" ht="15.75">
      <c r="A36" s="314"/>
    </row>
    <row r="37" spans="1:1" ht="63">
      <c r="A37" s="671" t="s">
        <v>387</v>
      </c>
    </row>
    <row r="38" spans="1:1" ht="15.75">
      <c r="A38" s="667"/>
    </row>
    <row r="39" spans="1:1" ht="15.75">
      <c r="A39" s="314"/>
    </row>
    <row r="40" spans="1:1" ht="63">
      <c r="A40" s="315" t="s">
        <v>388</v>
      </c>
    </row>
    <row r="41" spans="1:1" ht="15.75">
      <c r="A41" s="667"/>
    </row>
    <row r="42" spans="1:1" ht="15.75">
      <c r="A42" s="667"/>
    </row>
    <row r="43" spans="1:1" ht="82.5" customHeight="1">
      <c r="A43" s="672" t="s">
        <v>664</v>
      </c>
    </row>
    <row r="44" spans="1:1" ht="15.75">
      <c r="A44" s="667"/>
    </row>
    <row r="45" spans="1:1" ht="15.75">
      <c r="A45" s="667"/>
    </row>
    <row r="46" spans="1:1" ht="69" customHeight="1">
      <c r="A46" s="672" t="s">
        <v>665</v>
      </c>
    </row>
    <row r="47" spans="1:1" ht="15.75">
      <c r="A47" s="667"/>
    </row>
    <row r="48" spans="1:1" ht="15.75">
      <c r="A48" s="667"/>
    </row>
    <row r="49" spans="1:1" ht="69" customHeight="1">
      <c r="A49" s="672" t="s">
        <v>666</v>
      </c>
    </row>
    <row r="50" spans="1:1" ht="15.75">
      <c r="A50" s="667"/>
    </row>
    <row r="51" spans="1:1" ht="15.75">
      <c r="A51" s="667"/>
    </row>
    <row r="52" spans="1:1" ht="54.75" customHeight="1">
      <c r="A52" s="672" t="s">
        <v>889</v>
      </c>
    </row>
    <row r="53" spans="1:1" ht="15.75">
      <c r="A53" s="667"/>
    </row>
    <row r="54" spans="1:1" ht="15.75">
      <c r="A54" s="667"/>
    </row>
    <row r="55" spans="1:1" ht="63">
      <c r="A55" s="315" t="s">
        <v>389</v>
      </c>
    </row>
    <row r="56" spans="1:1" ht="15.75">
      <c r="A56" s="667"/>
    </row>
    <row r="57" spans="1:1" ht="15.75">
      <c r="A57" s="667"/>
    </row>
    <row r="58" spans="1:1" ht="63">
      <c r="A58" s="315" t="s">
        <v>390</v>
      </c>
    </row>
    <row r="59" spans="1:1" ht="15.75">
      <c r="A59" s="667"/>
    </row>
    <row r="60" spans="1:1" ht="15.75">
      <c r="A60" s="667"/>
    </row>
    <row r="61" spans="1:1" ht="47.25">
      <c r="A61" s="315" t="s">
        <v>391</v>
      </c>
    </row>
    <row r="62" spans="1:1" ht="15.75">
      <c r="A62" s="667"/>
    </row>
    <row r="63" spans="1:1" ht="15.75">
      <c r="A63" s="667"/>
    </row>
    <row r="64" spans="1:1" ht="47.25">
      <c r="A64" s="315" t="s">
        <v>392</v>
      </c>
    </row>
    <row r="65" spans="1:1" ht="15.75">
      <c r="A65" s="667"/>
    </row>
    <row r="66" spans="1:1" ht="15.75">
      <c r="A66" s="667"/>
    </row>
    <row r="67" spans="1:1" ht="78.75">
      <c r="A67" s="315" t="s">
        <v>393</v>
      </c>
    </row>
    <row r="68" spans="1:1">
      <c r="A68" s="673"/>
    </row>
  </sheetData>
  <sheetProtection sheet="1"/>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sheetPr>
    <pageSetUpPr fitToPage="1"/>
  </sheetPr>
  <dimension ref="B1:AC48"/>
  <sheetViews>
    <sheetView zoomScale="75" workbookViewId="0">
      <selection activeCell="G43" sqref="G43"/>
    </sheetView>
  </sheetViews>
  <sheetFormatPr defaultColWidth="8.88671875" defaultRowHeight="15.75"/>
  <cols>
    <col min="1" max="1" width="3.44140625" style="3" customWidth="1"/>
    <col min="2" max="2" width="22.33203125" style="3" customWidth="1"/>
    <col min="3" max="3" width="9.44140625" style="3" customWidth="1"/>
    <col min="4" max="4" width="9.21875" style="3" customWidth="1"/>
    <col min="5" max="5" width="8.109375" style="3" customWidth="1"/>
    <col min="6" max="6" width="12.77734375" style="3" customWidth="1"/>
    <col min="7" max="7" width="13.21875" style="3" customWidth="1"/>
    <col min="8" max="13" width="9.77734375" style="3" customWidth="1"/>
    <col min="14" max="16384" width="8.88671875" style="3"/>
  </cols>
  <sheetData>
    <row r="1" spans="2:13">
      <c r="B1" s="14" t="str">
        <f>inputPrYr!$D$3</f>
        <v>City of Bonner Springs</v>
      </c>
      <c r="C1" s="6"/>
      <c r="D1" s="6"/>
      <c r="E1" s="6"/>
      <c r="F1" s="6"/>
      <c r="G1" s="6"/>
      <c r="H1" s="6"/>
      <c r="I1" s="6"/>
      <c r="J1" s="6"/>
      <c r="K1" s="6"/>
      <c r="L1" s="6"/>
      <c r="M1" s="29">
        <f>inputPrYr!$C$10</f>
        <v>2014</v>
      </c>
    </row>
    <row r="2" spans="2:13">
      <c r="B2" s="14"/>
      <c r="C2" s="6"/>
      <c r="D2" s="6"/>
      <c r="E2" s="6"/>
      <c r="F2" s="6"/>
      <c r="G2" s="6"/>
      <c r="H2" s="6"/>
      <c r="I2" s="6"/>
      <c r="J2" s="6"/>
      <c r="K2" s="6"/>
      <c r="L2" s="6"/>
      <c r="M2" s="8"/>
    </row>
    <row r="3" spans="2:13">
      <c r="B3" s="15" t="s">
        <v>8</v>
      </c>
      <c r="C3" s="10"/>
      <c r="D3" s="10"/>
      <c r="E3" s="10"/>
      <c r="F3" s="10"/>
      <c r="G3" s="10"/>
      <c r="H3" s="10"/>
      <c r="I3" s="10"/>
      <c r="J3" s="10"/>
      <c r="K3" s="10"/>
      <c r="L3" s="10"/>
      <c r="M3" s="10"/>
    </row>
    <row r="4" spans="2:13">
      <c r="B4" s="6"/>
      <c r="C4" s="26"/>
      <c r="D4" s="26"/>
      <c r="E4" s="26"/>
      <c r="F4" s="26"/>
      <c r="G4" s="26"/>
      <c r="H4" s="26"/>
      <c r="I4" s="26"/>
      <c r="J4" s="26"/>
      <c r="K4" s="26"/>
      <c r="L4" s="26"/>
      <c r="M4" s="26"/>
    </row>
    <row r="5" spans="2:13">
      <c r="B5" s="647"/>
      <c r="C5" s="16" t="s">
        <v>317</v>
      </c>
      <c r="D5" s="16" t="s">
        <v>317</v>
      </c>
      <c r="E5" s="16" t="s">
        <v>331</v>
      </c>
      <c r="F5" s="16"/>
      <c r="G5" s="65" t="s">
        <v>100</v>
      </c>
      <c r="H5" s="6"/>
      <c r="I5" s="6"/>
      <c r="J5" s="18" t="s">
        <v>318</v>
      </c>
      <c r="K5" s="17"/>
      <c r="L5" s="18" t="s">
        <v>318</v>
      </c>
      <c r="M5" s="17"/>
    </row>
    <row r="6" spans="2:13">
      <c r="B6" s="19" t="s">
        <v>863</v>
      </c>
      <c r="C6" s="19" t="s">
        <v>319</v>
      </c>
      <c r="D6" s="19" t="s">
        <v>101</v>
      </c>
      <c r="E6" s="19" t="s">
        <v>320</v>
      </c>
      <c r="F6" s="19" t="s">
        <v>275</v>
      </c>
      <c r="G6" s="66" t="s">
        <v>102</v>
      </c>
      <c r="H6" s="902" t="s">
        <v>321</v>
      </c>
      <c r="I6" s="903"/>
      <c r="J6" s="904">
        <f>M1-1</f>
        <v>2013</v>
      </c>
      <c r="K6" s="905"/>
      <c r="L6" s="904">
        <f>M1</f>
        <v>2014</v>
      </c>
      <c r="M6" s="905"/>
    </row>
    <row r="7" spans="2:13">
      <c r="B7" s="20" t="s">
        <v>864</v>
      </c>
      <c r="C7" s="20" t="s">
        <v>322</v>
      </c>
      <c r="D7" s="20" t="s">
        <v>103</v>
      </c>
      <c r="E7" s="20" t="s">
        <v>297</v>
      </c>
      <c r="F7" s="20" t="s">
        <v>323</v>
      </c>
      <c r="G7" s="34" t="str">
        <f>CONCATENATE("Jan 1,",M1-1,"")</f>
        <v>Jan 1,2013</v>
      </c>
      <c r="H7" s="21" t="s">
        <v>331</v>
      </c>
      <c r="I7" s="21" t="s">
        <v>333</v>
      </c>
      <c r="J7" s="21" t="s">
        <v>331</v>
      </c>
      <c r="K7" s="21" t="s">
        <v>333</v>
      </c>
      <c r="L7" s="21" t="s">
        <v>331</v>
      </c>
      <c r="M7" s="21" t="s">
        <v>333</v>
      </c>
    </row>
    <row r="8" spans="2:13">
      <c r="B8" s="22" t="s">
        <v>324</v>
      </c>
      <c r="C8" s="13"/>
      <c r="D8" s="13"/>
      <c r="E8" s="23"/>
      <c r="F8" s="24"/>
      <c r="G8" s="24"/>
      <c r="H8" s="13"/>
      <c r="I8" s="13"/>
      <c r="J8" s="24"/>
      <c r="K8" s="24"/>
      <c r="L8" s="24"/>
      <c r="M8" s="24"/>
    </row>
    <row r="9" spans="2:13">
      <c r="B9" s="4" t="s">
        <v>1096</v>
      </c>
      <c r="C9" s="429">
        <v>38047</v>
      </c>
      <c r="D9" s="429">
        <v>45536</v>
      </c>
      <c r="E9" s="38" t="s">
        <v>1104</v>
      </c>
      <c r="F9" s="39">
        <v>1400000</v>
      </c>
      <c r="G9" s="40">
        <v>975000</v>
      </c>
      <c r="H9" s="41" t="s">
        <v>1105</v>
      </c>
      <c r="I9" s="41">
        <v>41518</v>
      </c>
      <c r="J9" s="40">
        <v>41412</v>
      </c>
      <c r="K9" s="40">
        <v>65000</v>
      </c>
      <c r="L9" s="40">
        <v>39105</v>
      </c>
      <c r="M9" s="40">
        <v>70000</v>
      </c>
    </row>
    <row r="10" spans="2:13">
      <c r="B10" s="4" t="s">
        <v>1097</v>
      </c>
      <c r="C10" s="429">
        <v>38474</v>
      </c>
      <c r="D10" s="429">
        <v>42248</v>
      </c>
      <c r="E10" s="38">
        <v>3.55</v>
      </c>
      <c r="F10" s="39">
        <v>3500000</v>
      </c>
      <c r="G10" s="40">
        <v>1240000</v>
      </c>
      <c r="H10" s="41" t="s">
        <v>1105</v>
      </c>
      <c r="I10" s="41">
        <v>41518</v>
      </c>
      <c r="J10" s="40">
        <v>46968</v>
      </c>
      <c r="K10" s="40">
        <v>395000</v>
      </c>
      <c r="L10" s="40">
        <v>31168.76</v>
      </c>
      <c r="M10" s="40">
        <v>415000</v>
      </c>
    </row>
    <row r="11" spans="2:13">
      <c r="B11" s="4" t="s">
        <v>1098</v>
      </c>
      <c r="C11" s="429">
        <v>39047</v>
      </c>
      <c r="D11" s="429">
        <v>42795</v>
      </c>
      <c r="E11" s="38">
        <v>3.75</v>
      </c>
      <c r="F11" s="39">
        <v>3500000</v>
      </c>
      <c r="G11" s="40">
        <v>2015000</v>
      </c>
      <c r="H11" s="41" t="s">
        <v>1105</v>
      </c>
      <c r="I11" s="41">
        <v>41334</v>
      </c>
      <c r="J11" s="40">
        <v>66530</v>
      </c>
      <c r="K11" s="40">
        <v>370000</v>
      </c>
      <c r="L11" s="40">
        <v>52940</v>
      </c>
      <c r="M11" s="40">
        <v>385000</v>
      </c>
    </row>
    <row r="12" spans="2:13">
      <c r="B12" s="4" t="s">
        <v>1099</v>
      </c>
      <c r="C12" s="429">
        <v>39295</v>
      </c>
      <c r="D12" s="429">
        <v>44805</v>
      </c>
      <c r="E12" s="38">
        <v>4.17</v>
      </c>
      <c r="F12" s="39">
        <v>1120000</v>
      </c>
      <c r="G12" s="40">
        <v>830000</v>
      </c>
      <c r="H12" s="41" t="s">
        <v>1105</v>
      </c>
      <c r="I12" s="41">
        <v>41518</v>
      </c>
      <c r="J12" s="40">
        <v>33884</v>
      </c>
      <c r="K12" s="40">
        <v>70000</v>
      </c>
      <c r="L12" s="40">
        <v>31153.759999999998</v>
      </c>
      <c r="M12" s="40">
        <v>70000</v>
      </c>
    </row>
    <row r="13" spans="2:13">
      <c r="B13" s="4" t="s">
        <v>1100</v>
      </c>
      <c r="C13" s="429">
        <v>39479</v>
      </c>
      <c r="D13" s="429">
        <v>46997</v>
      </c>
      <c r="E13" s="38">
        <v>4.04</v>
      </c>
      <c r="F13" s="39">
        <v>1680000</v>
      </c>
      <c r="G13" s="40">
        <v>1480000</v>
      </c>
      <c r="H13" s="41" t="s">
        <v>1105</v>
      </c>
      <c r="I13" s="41">
        <v>41518</v>
      </c>
      <c r="J13" s="40">
        <v>59160</v>
      </c>
      <c r="K13" s="40">
        <v>65000</v>
      </c>
      <c r="L13" s="40">
        <v>56722.5</v>
      </c>
      <c r="M13" s="40">
        <v>70000</v>
      </c>
    </row>
    <row r="14" spans="2:13">
      <c r="B14" s="4" t="s">
        <v>1101</v>
      </c>
      <c r="C14" s="429">
        <v>40042</v>
      </c>
      <c r="D14" s="429">
        <v>47362</v>
      </c>
      <c r="E14" s="38">
        <v>3.65</v>
      </c>
      <c r="F14" s="39">
        <v>7605000</v>
      </c>
      <c r="G14" s="40">
        <v>5890000</v>
      </c>
      <c r="H14" s="41" t="s">
        <v>1105</v>
      </c>
      <c r="I14" s="41">
        <v>41518</v>
      </c>
      <c r="J14" s="40">
        <v>201882</v>
      </c>
      <c r="K14" s="40">
        <v>600000</v>
      </c>
      <c r="L14" s="40">
        <v>188382.5</v>
      </c>
      <c r="M14" s="40">
        <v>625000</v>
      </c>
    </row>
    <row r="15" spans="2:13">
      <c r="B15" s="4" t="s">
        <v>1102</v>
      </c>
      <c r="C15" s="429">
        <v>40583</v>
      </c>
      <c r="D15" s="429">
        <v>47727</v>
      </c>
      <c r="E15" s="38">
        <v>3.13</v>
      </c>
      <c r="F15" s="39">
        <v>8765000</v>
      </c>
      <c r="G15" s="40">
        <v>8215000</v>
      </c>
      <c r="H15" s="41" t="s">
        <v>1105</v>
      </c>
      <c r="I15" s="41">
        <v>41518</v>
      </c>
      <c r="J15" s="40">
        <v>256943</v>
      </c>
      <c r="K15" s="40">
        <v>415000</v>
      </c>
      <c r="L15" s="40">
        <v>248642.5</v>
      </c>
      <c r="M15" s="40">
        <v>425000</v>
      </c>
    </row>
    <row r="16" spans="2:13">
      <c r="B16" s="4"/>
      <c r="C16" s="429"/>
      <c r="D16" s="429"/>
      <c r="E16" s="38"/>
      <c r="F16" s="39"/>
      <c r="G16" s="40"/>
      <c r="H16" s="41"/>
      <c r="I16" s="41"/>
      <c r="J16" s="40"/>
      <c r="K16" s="40"/>
      <c r="L16" s="40"/>
      <c r="M16" s="40"/>
    </row>
    <row r="17" spans="2:13">
      <c r="B17" s="4"/>
      <c r="C17" s="429"/>
      <c r="D17" s="429"/>
      <c r="E17" s="38"/>
      <c r="F17" s="39"/>
      <c r="G17" s="40"/>
      <c r="H17" s="41"/>
      <c r="I17" s="41"/>
      <c r="J17" s="40"/>
      <c r="K17" s="40"/>
      <c r="L17" s="40"/>
      <c r="M17" s="40"/>
    </row>
    <row r="18" spans="2:13">
      <c r="B18" s="4"/>
      <c r="C18" s="429"/>
      <c r="D18" s="429"/>
      <c r="E18" s="38"/>
      <c r="F18" s="39"/>
      <c r="G18" s="40"/>
      <c r="H18" s="41"/>
      <c r="I18" s="41"/>
      <c r="J18" s="40"/>
      <c r="K18" s="40"/>
      <c r="L18" s="40"/>
      <c r="M18" s="40"/>
    </row>
    <row r="19" spans="2:13">
      <c r="B19" s="4"/>
      <c r="C19" s="429"/>
      <c r="D19" s="429"/>
      <c r="E19" s="38"/>
      <c r="F19" s="39"/>
      <c r="G19" s="40"/>
      <c r="H19" s="41"/>
      <c r="I19" s="41"/>
      <c r="J19" s="40"/>
      <c r="K19" s="40"/>
      <c r="L19" s="40"/>
      <c r="M19" s="40"/>
    </row>
    <row r="20" spans="2:13">
      <c r="B20" s="25" t="s">
        <v>325</v>
      </c>
      <c r="C20" s="42"/>
      <c r="D20" s="42"/>
      <c r="E20" s="43"/>
      <c r="F20" s="44"/>
      <c r="G20" s="56">
        <f>SUM(G9:G19)</f>
        <v>20645000</v>
      </c>
      <c r="H20" s="45"/>
      <c r="I20" s="45"/>
      <c r="J20" s="56">
        <f>SUM(J9:J19)</f>
        <v>706779</v>
      </c>
      <c r="K20" s="56">
        <f>SUM(K9:K19)</f>
        <v>1980000</v>
      </c>
      <c r="L20" s="56">
        <f>SUM(L9:L19)</f>
        <v>648115.02</v>
      </c>
      <c r="M20" s="56">
        <f>SUM(M9:M19)</f>
        <v>2060000</v>
      </c>
    </row>
    <row r="21" spans="2:13">
      <c r="B21" s="22" t="s">
        <v>326</v>
      </c>
      <c r="C21" s="46"/>
      <c r="D21" s="46"/>
      <c r="E21" s="47"/>
      <c r="F21" s="37"/>
      <c r="G21" s="37"/>
      <c r="H21" s="48"/>
      <c r="I21" s="48"/>
      <c r="J21" s="37"/>
      <c r="K21" s="37"/>
      <c r="L21" s="37"/>
      <c r="M21" s="37"/>
    </row>
    <row r="22" spans="2:13">
      <c r="B22" s="4"/>
      <c r="C22" s="429"/>
      <c r="D22" s="429"/>
      <c r="E22" s="38"/>
      <c r="F22" s="39"/>
      <c r="G22" s="40"/>
      <c r="H22" s="41"/>
      <c r="I22" s="41"/>
      <c r="J22" s="40"/>
      <c r="K22" s="40"/>
      <c r="L22" s="40"/>
      <c r="M22" s="40"/>
    </row>
    <row r="23" spans="2:13">
      <c r="B23" s="4"/>
      <c r="C23" s="429"/>
      <c r="D23" s="429"/>
      <c r="E23" s="38"/>
      <c r="F23" s="39"/>
      <c r="G23" s="40"/>
      <c r="H23" s="41"/>
      <c r="I23" s="41"/>
      <c r="J23" s="40"/>
      <c r="K23" s="40"/>
      <c r="L23" s="40"/>
      <c r="M23" s="40"/>
    </row>
    <row r="24" spans="2:13">
      <c r="B24" s="4"/>
      <c r="C24" s="429"/>
      <c r="D24" s="429"/>
      <c r="E24" s="38"/>
      <c r="F24" s="39"/>
      <c r="G24" s="40"/>
      <c r="H24" s="41"/>
      <c r="I24" s="41"/>
      <c r="J24" s="40"/>
      <c r="K24" s="40"/>
      <c r="L24" s="40"/>
      <c r="M24" s="40"/>
    </row>
    <row r="25" spans="2:13">
      <c r="B25" s="4"/>
      <c r="C25" s="429"/>
      <c r="D25" s="429"/>
      <c r="E25" s="38"/>
      <c r="F25" s="39"/>
      <c r="G25" s="40"/>
      <c r="H25" s="41"/>
      <c r="I25" s="41"/>
      <c r="J25" s="40"/>
      <c r="K25" s="40"/>
      <c r="L25" s="40"/>
      <c r="M25" s="40"/>
    </row>
    <row r="26" spans="2:13">
      <c r="B26" s="4"/>
      <c r="C26" s="429"/>
      <c r="D26" s="429"/>
      <c r="E26" s="38"/>
      <c r="F26" s="39"/>
      <c r="G26" s="40"/>
      <c r="H26" s="41"/>
      <c r="I26" s="41"/>
      <c r="J26" s="40"/>
      <c r="K26" s="40"/>
      <c r="L26" s="40"/>
      <c r="M26" s="40"/>
    </row>
    <row r="27" spans="2:13">
      <c r="B27" s="4"/>
      <c r="C27" s="429"/>
      <c r="D27" s="429"/>
      <c r="E27" s="38"/>
      <c r="F27" s="39"/>
      <c r="G27" s="40"/>
      <c r="H27" s="41"/>
      <c r="I27" s="41"/>
      <c r="J27" s="40"/>
      <c r="K27" s="40"/>
      <c r="L27" s="40"/>
      <c r="M27" s="40"/>
    </row>
    <row r="28" spans="2:13">
      <c r="B28" s="4"/>
      <c r="C28" s="429"/>
      <c r="D28" s="429"/>
      <c r="E28" s="38"/>
      <c r="F28" s="39"/>
      <c r="G28" s="40"/>
      <c r="H28" s="41"/>
      <c r="I28" s="41"/>
      <c r="J28" s="40"/>
      <c r="K28" s="40"/>
      <c r="L28" s="40"/>
      <c r="M28" s="40"/>
    </row>
    <row r="29" spans="2:13">
      <c r="B29" s="4"/>
      <c r="C29" s="429"/>
      <c r="D29" s="429"/>
      <c r="E29" s="38"/>
      <c r="F29" s="39"/>
      <c r="G29" s="40"/>
      <c r="H29" s="41"/>
      <c r="I29" s="41"/>
      <c r="J29" s="40"/>
      <c r="K29" s="40"/>
      <c r="L29" s="40"/>
      <c r="M29" s="40"/>
    </row>
    <row r="30" spans="2:13">
      <c r="B30" s="4"/>
      <c r="C30" s="429"/>
      <c r="D30" s="429"/>
      <c r="E30" s="38"/>
      <c r="F30" s="39"/>
      <c r="G30" s="40"/>
      <c r="H30" s="41"/>
      <c r="I30" s="41"/>
      <c r="J30" s="40"/>
      <c r="K30" s="40"/>
      <c r="L30" s="40"/>
      <c r="M30" s="40"/>
    </row>
    <row r="31" spans="2:13">
      <c r="B31" s="4"/>
      <c r="C31" s="429"/>
      <c r="D31" s="429"/>
      <c r="E31" s="38"/>
      <c r="F31" s="39"/>
      <c r="G31" s="40"/>
      <c r="H31" s="41"/>
      <c r="I31" s="41"/>
      <c r="J31" s="40"/>
      <c r="K31" s="40"/>
      <c r="L31" s="40"/>
      <c r="M31" s="40"/>
    </row>
    <row r="32" spans="2:13">
      <c r="B32" s="25" t="s">
        <v>327</v>
      </c>
      <c r="C32" s="42"/>
      <c r="D32" s="42"/>
      <c r="E32" s="49"/>
      <c r="F32" s="44"/>
      <c r="G32" s="57">
        <f>SUM(G22:G31)</f>
        <v>0</v>
      </c>
      <c r="H32" s="45"/>
      <c r="I32" s="45"/>
      <c r="J32" s="57">
        <f>SUM(J22:J31)</f>
        <v>0</v>
      </c>
      <c r="K32" s="57">
        <f>SUM(K22:K31)</f>
        <v>0</v>
      </c>
      <c r="L32" s="56">
        <f>SUM(L22:L31)</f>
        <v>0</v>
      </c>
      <c r="M32" s="57">
        <f>SUM(M22:M31)</f>
        <v>0</v>
      </c>
    </row>
    <row r="33" spans="2:29">
      <c r="B33" s="22" t="s">
        <v>328</v>
      </c>
      <c r="C33" s="46"/>
      <c r="D33" s="46"/>
      <c r="E33" s="47"/>
      <c r="F33" s="37"/>
      <c r="G33" s="50"/>
      <c r="H33" s="48"/>
      <c r="I33" s="48"/>
      <c r="J33" s="37"/>
      <c r="K33" s="37"/>
      <c r="L33" s="37"/>
      <c r="M33" s="37"/>
    </row>
    <row r="34" spans="2:29">
      <c r="B34" s="4" t="s">
        <v>1103</v>
      </c>
      <c r="C34" s="429">
        <v>41228</v>
      </c>
      <c r="D34" s="429">
        <v>41760</v>
      </c>
      <c r="E34" s="38">
        <v>0.45</v>
      </c>
      <c r="F34" s="39">
        <v>1750000</v>
      </c>
      <c r="G34" s="40">
        <v>1750000</v>
      </c>
      <c r="H34" s="41" t="s">
        <v>874</v>
      </c>
      <c r="I34" s="41" t="s">
        <v>874</v>
      </c>
      <c r="J34" s="40">
        <v>0</v>
      </c>
      <c r="K34" s="40">
        <v>0</v>
      </c>
      <c r="L34" s="40">
        <v>11506.25</v>
      </c>
      <c r="M34" s="40">
        <v>1750000</v>
      </c>
    </row>
    <row r="35" spans="2:29">
      <c r="B35" s="4"/>
      <c r="C35" s="429"/>
      <c r="D35" s="429"/>
      <c r="E35" s="38"/>
      <c r="F35" s="39"/>
      <c r="G35" s="40"/>
      <c r="H35" s="41"/>
      <c r="I35" s="41"/>
      <c r="J35" s="40"/>
      <c r="K35" s="40"/>
      <c r="L35" s="40"/>
      <c r="M35" s="40"/>
    </row>
    <row r="36" spans="2:29">
      <c r="B36" s="4"/>
      <c r="C36" s="429"/>
      <c r="D36" s="429"/>
      <c r="E36" s="38"/>
      <c r="F36" s="39"/>
      <c r="G36" s="40"/>
      <c r="H36" s="41"/>
      <c r="I36" s="41"/>
      <c r="J36" s="40"/>
      <c r="K36" s="40"/>
      <c r="L36" s="40"/>
      <c r="M36" s="40"/>
    </row>
    <row r="37" spans="2:29">
      <c r="B37" s="4"/>
      <c r="C37" s="429"/>
      <c r="D37" s="429"/>
      <c r="E37" s="38"/>
      <c r="F37" s="39"/>
      <c r="G37" s="40"/>
      <c r="H37" s="41"/>
      <c r="I37" s="41"/>
      <c r="J37" s="40"/>
      <c r="K37" s="40"/>
      <c r="L37" s="40"/>
      <c r="M37" s="40"/>
    </row>
    <row r="38" spans="2:29">
      <c r="B38" s="4"/>
      <c r="C38" s="429"/>
      <c r="D38" s="429"/>
      <c r="E38" s="38"/>
      <c r="F38" s="39"/>
      <c r="G38" s="40"/>
      <c r="H38" s="41"/>
      <c r="I38" s="41"/>
      <c r="J38" s="40"/>
      <c r="K38" s="40"/>
      <c r="L38" s="40"/>
      <c r="M38" s="40"/>
    </row>
    <row r="39" spans="2:29">
      <c r="B39" s="4"/>
      <c r="C39" s="429"/>
      <c r="D39" s="429"/>
      <c r="E39" s="38"/>
      <c r="F39" s="39"/>
      <c r="G39" s="40"/>
      <c r="H39" s="41"/>
      <c r="I39" s="41"/>
      <c r="J39" s="40"/>
      <c r="K39" s="40"/>
      <c r="L39" s="40"/>
      <c r="M39" s="40"/>
    </row>
    <row r="40" spans="2:29">
      <c r="B40" s="4"/>
      <c r="C40" s="429"/>
      <c r="D40" s="429"/>
      <c r="E40" s="38"/>
      <c r="F40" s="39"/>
      <c r="G40" s="40"/>
      <c r="H40" s="41"/>
      <c r="I40" s="41"/>
      <c r="J40" s="40"/>
      <c r="K40" s="40"/>
      <c r="L40" s="40"/>
      <c r="M40" s="40"/>
    </row>
    <row r="41" spans="2:29">
      <c r="B41" s="4"/>
      <c r="C41" s="429"/>
      <c r="D41" s="429"/>
      <c r="E41" s="38"/>
      <c r="F41" s="39"/>
      <c r="G41" s="40"/>
      <c r="H41" s="41"/>
      <c r="I41" s="41"/>
      <c r="J41" s="40"/>
      <c r="K41" s="40"/>
      <c r="L41" s="40"/>
      <c r="M41" s="40"/>
      <c r="N41" s="1"/>
      <c r="O41" s="1"/>
      <c r="P41" s="1"/>
      <c r="Q41" s="1"/>
      <c r="R41" s="1"/>
      <c r="S41" s="1"/>
      <c r="T41" s="1"/>
      <c r="U41" s="1"/>
      <c r="V41" s="1"/>
      <c r="W41" s="1"/>
      <c r="X41" s="1"/>
      <c r="Y41" s="1"/>
      <c r="Z41" s="1"/>
      <c r="AA41" s="1"/>
      <c r="AB41" s="1"/>
      <c r="AC41" s="1"/>
    </row>
    <row r="42" spans="2:29">
      <c r="B42" s="25" t="s">
        <v>104</v>
      </c>
      <c r="C42" s="36"/>
      <c r="D42" s="36"/>
      <c r="E42" s="49"/>
      <c r="F42" s="44"/>
      <c r="G42" s="57">
        <f>SUM(G34:G41)</f>
        <v>1750000</v>
      </c>
      <c r="H42" s="44"/>
      <c r="I42" s="44"/>
      <c r="J42" s="57">
        <f>SUM(J34:J41)</f>
        <v>0</v>
      </c>
      <c r="K42" s="57">
        <f>SUM(K34:K41)</f>
        <v>0</v>
      </c>
      <c r="L42" s="57">
        <f>SUM(L34:L41)</f>
        <v>11506.25</v>
      </c>
      <c r="M42" s="57">
        <f>SUM(M34:M41)</f>
        <v>1750000</v>
      </c>
    </row>
    <row r="43" spans="2:29">
      <c r="B43" s="25" t="s">
        <v>329</v>
      </c>
      <c r="C43" s="36"/>
      <c r="D43" s="36"/>
      <c r="E43" s="36"/>
      <c r="F43" s="44"/>
      <c r="G43" s="57">
        <f>SUM(G20+G32+G42)</f>
        <v>22395000</v>
      </c>
      <c r="H43" s="44"/>
      <c r="I43" s="44"/>
      <c r="J43" s="57">
        <f>SUM(J20+J32+J42)</f>
        <v>706779</v>
      </c>
      <c r="K43" s="57">
        <f>SUM(K20+K32+K42)</f>
        <v>1980000</v>
      </c>
      <c r="L43" s="57">
        <f>SUM(L20+L32+L42)</f>
        <v>659621.27</v>
      </c>
      <c r="M43" s="57">
        <f>SUM(M20+M32+M42)</f>
        <v>3810000</v>
      </c>
    </row>
    <row r="44" spans="2:29">
      <c r="B44" s="1"/>
      <c r="C44" s="1"/>
      <c r="D44" s="1"/>
      <c r="E44" s="1"/>
      <c r="F44" s="1"/>
      <c r="G44" s="1"/>
      <c r="H44" s="1"/>
      <c r="I44" s="1"/>
      <c r="J44" s="1"/>
      <c r="K44" s="1"/>
      <c r="L44" s="1"/>
      <c r="M44" s="1"/>
    </row>
    <row r="45" spans="2:29">
      <c r="F45" s="5"/>
      <c r="G45" s="5"/>
      <c r="J45" s="5"/>
      <c r="K45" s="5"/>
      <c r="L45" s="5"/>
      <c r="M45" s="5"/>
    </row>
    <row r="46" spans="2:29">
      <c r="F46" s="1"/>
      <c r="H46" s="35"/>
      <c r="N46" s="1"/>
    </row>
    <row r="47" spans="2:29">
      <c r="B47" s="1"/>
      <c r="C47" s="1"/>
      <c r="D47" s="1"/>
      <c r="E47" s="1"/>
      <c r="F47" s="1"/>
      <c r="G47" s="1"/>
      <c r="H47" s="1"/>
      <c r="I47" s="1"/>
      <c r="J47" s="1"/>
      <c r="K47" s="1"/>
      <c r="L47" s="1"/>
      <c r="M47" s="1"/>
    </row>
    <row r="48" spans="2:29">
      <c r="B48" s="1"/>
      <c r="C48" s="1"/>
      <c r="D48" s="1"/>
      <c r="E48" s="1"/>
      <c r="F48" s="1"/>
      <c r="G48" s="1"/>
      <c r="H48" s="1"/>
      <c r="I48" s="1"/>
      <c r="J48" s="1"/>
      <c r="K48" s="1"/>
      <c r="L48" s="1"/>
      <c r="M48" s="1"/>
    </row>
  </sheetData>
  <mergeCells count="3">
    <mergeCell ref="H6:I6"/>
    <mergeCell ref="J6:K6"/>
    <mergeCell ref="L6:M6"/>
  </mergeCells>
  <phoneticPr fontId="0" type="noConversion"/>
  <pageMargins left="0.5" right="0.25" top="1" bottom="0.5" header="0.5" footer="0.25"/>
  <pageSetup scale="72" orientation="landscape" blackAndWhite="1" horizontalDpi="120" verticalDpi="144" r:id="rId1"/>
  <headerFooter alignWithMargins="0">
    <oddHeader>&amp;RState of Kansas
City</oddHeader>
    <oddFooter>&amp;CPage No. 5</oddFooter>
  </headerFooter>
</worksheet>
</file>

<file path=xl/worksheets/sheet11.xml><?xml version="1.0" encoding="utf-8"?>
<worksheet xmlns="http://schemas.openxmlformats.org/spreadsheetml/2006/main" xmlns:r="http://schemas.openxmlformats.org/officeDocument/2006/relationships">
  <sheetPr>
    <pageSetUpPr fitToPage="1"/>
  </sheetPr>
  <dimension ref="B1:I30"/>
  <sheetViews>
    <sheetView topLeftCell="A2" zoomScale="75" workbookViewId="0">
      <selection activeCell="J22" sqref="J22"/>
    </sheetView>
  </sheetViews>
  <sheetFormatPr defaultColWidth="8.88671875" defaultRowHeight="15.75"/>
  <cols>
    <col min="1" max="1" width="8.88671875" style="80"/>
    <col min="2" max="2" width="23.5546875" style="80" customWidth="1"/>
    <col min="3" max="5" width="9.77734375" style="80" customWidth="1"/>
    <col min="6" max="6" width="18.33203125" style="80" customWidth="1"/>
    <col min="7" max="9" width="15.77734375" style="80" customWidth="1"/>
    <col min="10" max="16384" width="8.88671875" style="80"/>
  </cols>
  <sheetData>
    <row r="1" spans="2:9">
      <c r="B1" s="253" t="str">
        <f>inputPrYr!$D$3</f>
        <v>City of Bonner Springs</v>
      </c>
      <c r="C1" s="84"/>
      <c r="D1" s="84"/>
      <c r="E1" s="84"/>
      <c r="F1" s="84"/>
      <c r="G1" s="84"/>
      <c r="H1" s="84"/>
      <c r="I1" s="277">
        <f>inputPrYr!C10</f>
        <v>2014</v>
      </c>
    </row>
    <row r="2" spans="2:9">
      <c r="B2" s="253"/>
      <c r="C2" s="84"/>
      <c r="D2" s="84"/>
      <c r="E2" s="84"/>
      <c r="F2" s="84"/>
      <c r="G2" s="84"/>
      <c r="H2" s="84"/>
      <c r="I2" s="228"/>
    </row>
    <row r="3" spans="2:9">
      <c r="B3" s="84"/>
      <c r="C3" s="84"/>
      <c r="D3" s="84"/>
      <c r="E3" s="84"/>
      <c r="F3" s="84"/>
      <c r="G3" s="84"/>
      <c r="H3" s="84"/>
      <c r="I3" s="197"/>
    </row>
    <row r="4" spans="2:9">
      <c r="B4" s="278" t="s">
        <v>2</v>
      </c>
      <c r="C4" s="94"/>
      <c r="D4" s="94"/>
      <c r="E4" s="94"/>
      <c r="F4" s="94"/>
      <c r="G4" s="94"/>
      <c r="H4" s="94"/>
      <c r="I4" s="94"/>
    </row>
    <row r="5" spans="2:9">
      <c r="B5" s="99"/>
      <c r="C5" s="279"/>
      <c r="D5" s="279"/>
      <c r="E5" s="279"/>
      <c r="F5" s="279"/>
      <c r="G5" s="279"/>
      <c r="H5" s="279"/>
      <c r="I5" s="279"/>
    </row>
    <row r="6" spans="2:9">
      <c r="B6" s="211"/>
      <c r="C6" s="211"/>
      <c r="D6" s="211"/>
      <c r="E6" s="211"/>
      <c r="F6" s="256" t="s">
        <v>259</v>
      </c>
      <c r="G6" s="211"/>
      <c r="H6" s="211"/>
      <c r="I6" s="211"/>
    </row>
    <row r="7" spans="2:9">
      <c r="B7" s="212"/>
      <c r="C7" s="280"/>
      <c r="D7" s="280" t="s">
        <v>330</v>
      </c>
      <c r="E7" s="280" t="s">
        <v>331</v>
      </c>
      <c r="F7" s="280" t="s">
        <v>275</v>
      </c>
      <c r="G7" s="280" t="s">
        <v>333</v>
      </c>
      <c r="H7" s="280" t="s">
        <v>334</v>
      </c>
      <c r="I7" s="280" t="s">
        <v>334</v>
      </c>
    </row>
    <row r="8" spans="2:9">
      <c r="B8" s="280" t="s">
        <v>861</v>
      </c>
      <c r="C8" s="280" t="s">
        <v>335</v>
      </c>
      <c r="D8" s="280" t="s">
        <v>336</v>
      </c>
      <c r="E8" s="280" t="s">
        <v>320</v>
      </c>
      <c r="F8" s="280" t="s">
        <v>337</v>
      </c>
      <c r="G8" s="280" t="s">
        <v>39</v>
      </c>
      <c r="H8" s="280" t="s">
        <v>338</v>
      </c>
      <c r="I8" s="280" t="s">
        <v>338</v>
      </c>
    </row>
    <row r="9" spans="2:9">
      <c r="B9" s="258" t="s">
        <v>862</v>
      </c>
      <c r="C9" s="258" t="s">
        <v>317</v>
      </c>
      <c r="D9" s="281" t="s">
        <v>339</v>
      </c>
      <c r="E9" s="258" t="s">
        <v>297</v>
      </c>
      <c r="F9" s="281" t="s">
        <v>63</v>
      </c>
      <c r="G9" s="282" t="str">
        <f>CONCATENATE("Jan 1,",I1-1,"")</f>
        <v>Jan 1,2013</v>
      </c>
      <c r="H9" s="258">
        <f>I1-1</f>
        <v>2013</v>
      </c>
      <c r="I9" s="258">
        <f>I1</f>
        <v>2014</v>
      </c>
    </row>
    <row r="10" spans="2:9">
      <c r="B10" s="108" t="s">
        <v>1106</v>
      </c>
      <c r="C10" s="428">
        <v>38957</v>
      </c>
      <c r="D10" s="284">
        <v>84</v>
      </c>
      <c r="E10" s="285">
        <v>4.4000000000000004</v>
      </c>
      <c r="F10" s="286">
        <v>946877</v>
      </c>
      <c r="G10" s="286">
        <v>115918</v>
      </c>
      <c r="H10" s="286">
        <v>115918</v>
      </c>
      <c r="I10" s="286">
        <v>0</v>
      </c>
    </row>
    <row r="11" spans="2:9">
      <c r="B11" s="108"/>
      <c r="C11" s="428"/>
      <c r="D11" s="284"/>
      <c r="E11" s="285"/>
      <c r="F11" s="286"/>
      <c r="G11" s="286"/>
      <c r="H11" s="286"/>
      <c r="I11" s="286"/>
    </row>
    <row r="12" spans="2:9">
      <c r="B12" s="108"/>
      <c r="C12" s="283"/>
      <c r="D12" s="284"/>
      <c r="E12" s="285"/>
      <c r="F12" s="286"/>
      <c r="G12" s="286"/>
      <c r="H12" s="286"/>
      <c r="I12" s="286"/>
    </row>
    <row r="13" spans="2:9">
      <c r="B13" s="108"/>
      <c r="C13" s="283"/>
      <c r="D13" s="284"/>
      <c r="E13" s="285"/>
      <c r="F13" s="286"/>
      <c r="G13" s="286"/>
      <c r="H13" s="286"/>
      <c r="I13" s="286"/>
    </row>
    <row r="14" spans="2:9">
      <c r="B14" s="108"/>
      <c r="C14" s="283"/>
      <c r="D14" s="284"/>
      <c r="E14" s="285"/>
      <c r="F14" s="286"/>
      <c r="G14" s="286"/>
      <c r="H14" s="286"/>
      <c r="I14" s="286"/>
    </row>
    <row r="15" spans="2:9">
      <c r="B15" s="108"/>
      <c r="C15" s="283"/>
      <c r="D15" s="284"/>
      <c r="E15" s="285"/>
      <c r="F15" s="286"/>
      <c r="G15" s="286"/>
      <c r="H15" s="286"/>
      <c r="I15" s="286"/>
    </row>
    <row r="16" spans="2:9">
      <c r="B16" s="108"/>
      <c r="C16" s="283"/>
      <c r="D16" s="284"/>
      <c r="E16" s="285"/>
      <c r="F16" s="286"/>
      <c r="G16" s="286"/>
      <c r="H16" s="286"/>
      <c r="I16" s="286"/>
    </row>
    <row r="17" spans="2:9">
      <c r="B17" s="108"/>
      <c r="C17" s="283"/>
      <c r="D17" s="284"/>
      <c r="E17" s="285"/>
      <c r="F17" s="286"/>
      <c r="G17" s="286"/>
      <c r="H17" s="286"/>
      <c r="I17" s="286"/>
    </row>
    <row r="18" spans="2:9">
      <c r="B18" s="108"/>
      <c r="C18" s="283"/>
      <c r="D18" s="284"/>
      <c r="E18" s="285"/>
      <c r="F18" s="286"/>
      <c r="G18" s="286"/>
      <c r="H18" s="286"/>
      <c r="I18" s="286"/>
    </row>
    <row r="19" spans="2:9">
      <c r="B19" s="108"/>
      <c r="C19" s="283"/>
      <c r="D19" s="284"/>
      <c r="E19" s="285"/>
      <c r="F19" s="286"/>
      <c r="G19" s="286"/>
      <c r="H19" s="286"/>
      <c r="I19" s="286"/>
    </row>
    <row r="20" spans="2:9">
      <c r="B20" s="108"/>
      <c r="C20" s="283"/>
      <c r="D20" s="284"/>
      <c r="E20" s="285"/>
      <c r="F20" s="286"/>
      <c r="G20" s="286"/>
      <c r="H20" s="286"/>
      <c r="I20" s="286"/>
    </row>
    <row r="21" spans="2:9">
      <c r="B21" s="108"/>
      <c r="C21" s="283"/>
      <c r="D21" s="284"/>
      <c r="E21" s="285"/>
      <c r="F21" s="286"/>
      <c r="G21" s="286"/>
      <c r="H21" s="286"/>
      <c r="I21" s="286"/>
    </row>
    <row r="22" spans="2:9">
      <c r="B22" s="108"/>
      <c r="C22" s="283"/>
      <c r="D22" s="284"/>
      <c r="E22" s="285"/>
      <c r="F22" s="286"/>
      <c r="G22" s="286"/>
      <c r="H22" s="286"/>
      <c r="I22" s="286"/>
    </row>
    <row r="23" spans="2:9">
      <c r="B23" s="108"/>
      <c r="C23" s="283"/>
      <c r="D23" s="284"/>
      <c r="E23" s="285"/>
      <c r="F23" s="286"/>
      <c r="G23" s="286"/>
      <c r="H23" s="286"/>
      <c r="I23" s="286"/>
    </row>
    <row r="24" spans="2:9">
      <c r="B24" s="108"/>
      <c r="C24" s="283"/>
      <c r="D24" s="284"/>
      <c r="E24" s="285"/>
      <c r="F24" s="286"/>
      <c r="G24" s="286"/>
      <c r="H24" s="286"/>
      <c r="I24" s="286"/>
    </row>
    <row r="25" spans="2:9">
      <c r="B25" s="108"/>
      <c r="C25" s="283"/>
      <c r="D25" s="284"/>
      <c r="E25" s="285"/>
      <c r="F25" s="286"/>
      <c r="G25" s="286"/>
      <c r="H25" s="286"/>
      <c r="I25" s="286"/>
    </row>
    <row r="26" spans="2:9">
      <c r="B26" s="108"/>
      <c r="C26" s="283"/>
      <c r="D26" s="284"/>
      <c r="E26" s="285"/>
      <c r="F26" s="286"/>
      <c r="G26" s="286"/>
      <c r="H26" s="286"/>
      <c r="I26" s="286"/>
    </row>
    <row r="27" spans="2:9">
      <c r="B27" s="108"/>
      <c r="C27" s="283"/>
      <c r="D27" s="284"/>
      <c r="E27" s="285"/>
      <c r="F27" s="286"/>
      <c r="G27" s="286"/>
      <c r="H27" s="286"/>
      <c r="I27" s="286"/>
    </row>
    <row r="28" spans="2:9" ht="16.5" thickBot="1">
      <c r="B28" s="287"/>
      <c r="C28" s="173"/>
      <c r="D28" s="173"/>
      <c r="E28" s="173"/>
      <c r="F28" s="646" t="s">
        <v>271</v>
      </c>
      <c r="G28" s="288">
        <f>SUM(G10:G27)</f>
        <v>115918</v>
      </c>
      <c r="H28" s="288">
        <f>SUM(H10:H27)</f>
        <v>115918</v>
      </c>
      <c r="I28" s="288">
        <f>SUM(I10:I27)</f>
        <v>0</v>
      </c>
    </row>
    <row r="29" spans="2:9" ht="16.5" thickTop="1">
      <c r="B29" s="84"/>
      <c r="C29" s="84"/>
      <c r="D29" s="84"/>
      <c r="E29" s="84"/>
      <c r="F29" s="84"/>
      <c r="G29" s="84"/>
      <c r="H29" s="253"/>
      <c r="I29" s="253"/>
    </row>
    <row r="30" spans="2:9">
      <c r="B30" s="289" t="s">
        <v>191</v>
      </c>
      <c r="C30" s="176"/>
      <c r="D30" s="176"/>
      <c r="E30" s="176"/>
      <c r="F30" s="176"/>
      <c r="G30" s="176"/>
      <c r="H30" s="253"/>
      <c r="I30" s="253"/>
    </row>
  </sheetData>
  <phoneticPr fontId="0" type="noConversion"/>
  <pageMargins left="0.75" right="0.25" top="1" bottom="0.5" header="0.5" footer="0.5"/>
  <pageSetup scale="81" orientation="landscape" blackAndWhite="1" horizontalDpi="120" verticalDpi="144" r:id="rId1"/>
  <headerFooter alignWithMargins="0">
    <oddHeader>&amp;RState of Kansas
City</oddHeader>
    <oddFooter>&amp;CPage No. 6</oddFooter>
  </headerFooter>
</worksheet>
</file>

<file path=xl/worksheets/sheet12.xml><?xml version="1.0" encoding="utf-8"?>
<worksheet xmlns="http://schemas.openxmlformats.org/spreadsheetml/2006/main" xmlns:r="http://schemas.openxmlformats.org/officeDocument/2006/relationships">
  <sheetPr>
    <tabColor rgb="FFFF0000"/>
  </sheetPr>
  <dimension ref="B1:I108"/>
  <sheetViews>
    <sheetView zoomScaleNormal="100" workbookViewId="0">
      <selection activeCell="K30" sqref="K30"/>
    </sheetView>
  </sheetViews>
  <sheetFormatPr defaultColWidth="8.88671875" defaultRowHeight="15"/>
  <cols>
    <col min="1" max="1" width="2.5546875" style="623" customWidth="1"/>
    <col min="2" max="4" width="8.88671875" style="623"/>
    <col min="5" max="5" width="9.6640625" style="623" customWidth="1"/>
    <col min="6" max="6" width="8.88671875" style="623"/>
    <col min="7" max="7" width="9.6640625" style="623" customWidth="1"/>
    <col min="8" max="16384" width="8.88671875" style="623"/>
  </cols>
  <sheetData>
    <row r="1" spans="2:9" ht="15.75">
      <c r="B1" s="622"/>
      <c r="C1" s="622"/>
      <c r="D1" s="622"/>
      <c r="E1" s="622"/>
      <c r="F1" s="622"/>
      <c r="G1" s="622"/>
      <c r="H1" s="622"/>
      <c r="I1" s="622"/>
    </row>
    <row r="2" spans="2:9" ht="15.75">
      <c r="B2" s="908" t="s">
        <v>810</v>
      </c>
      <c r="C2" s="908"/>
      <c r="D2" s="908"/>
      <c r="E2" s="908"/>
      <c r="F2" s="908"/>
      <c r="G2" s="908"/>
      <c r="H2" s="908"/>
      <c r="I2" s="908"/>
    </row>
    <row r="3" spans="2:9" ht="15.75">
      <c r="B3" s="908" t="s">
        <v>811</v>
      </c>
      <c r="C3" s="908"/>
      <c r="D3" s="908"/>
      <c r="E3" s="908"/>
      <c r="F3" s="908"/>
      <c r="G3" s="908"/>
      <c r="H3" s="908"/>
      <c r="I3" s="908"/>
    </row>
    <row r="4" spans="2:9" ht="15.75">
      <c r="B4" s="624"/>
      <c r="C4" s="624"/>
      <c r="D4" s="624"/>
      <c r="E4" s="624"/>
      <c r="F4" s="624"/>
      <c r="G4" s="624"/>
      <c r="H4" s="624"/>
      <c r="I4" s="624"/>
    </row>
    <row r="5" spans="2:9" ht="15.75">
      <c r="B5" s="909" t="str">
        <f>CONCATENATE("Budgeted Year: ",inputPrYr!C10,"")</f>
        <v>Budgeted Year: 2014</v>
      </c>
      <c r="C5" s="909"/>
      <c r="D5" s="909"/>
      <c r="E5" s="909"/>
      <c r="F5" s="909"/>
      <c r="G5" s="909"/>
      <c r="H5" s="909"/>
      <c r="I5" s="909"/>
    </row>
    <row r="6" spans="2:9" ht="15.75">
      <c r="B6" s="625"/>
      <c r="C6" s="624"/>
      <c r="D6" s="624"/>
      <c r="E6" s="624"/>
      <c r="F6" s="624"/>
      <c r="G6" s="624"/>
      <c r="H6" s="624"/>
      <c r="I6" s="624"/>
    </row>
    <row r="7" spans="2:9" ht="15.75">
      <c r="B7" s="625" t="str">
        <f>CONCATENATE("Library found in: ",inputPrYr!D3,"")</f>
        <v>Library found in: City of Bonner Springs</v>
      </c>
      <c r="C7" s="624"/>
      <c r="D7" s="624"/>
      <c r="E7" s="624"/>
      <c r="F7" s="624"/>
      <c r="G7" s="624"/>
      <c r="H7" s="624"/>
      <c r="I7" s="624"/>
    </row>
    <row r="8" spans="2:9" ht="15.75">
      <c r="B8" s="625" t="str">
        <f>inputPrYr!D4</f>
        <v>Wyandotte County</v>
      </c>
      <c r="C8" s="624"/>
      <c r="D8" s="624"/>
      <c r="E8" s="624"/>
      <c r="F8" s="624"/>
      <c r="G8" s="624"/>
      <c r="H8" s="624"/>
      <c r="I8" s="624"/>
    </row>
    <row r="9" spans="2:9" ht="15.75">
      <c r="B9" s="624"/>
      <c r="C9" s="624"/>
      <c r="D9" s="624"/>
      <c r="E9" s="624"/>
      <c r="F9" s="624"/>
      <c r="G9" s="624"/>
      <c r="H9" s="624"/>
      <c r="I9" s="624"/>
    </row>
    <row r="10" spans="2:9" ht="39" customHeight="1">
      <c r="B10" s="910" t="s">
        <v>812</v>
      </c>
      <c r="C10" s="910"/>
      <c r="D10" s="910"/>
      <c r="E10" s="910"/>
      <c r="F10" s="910"/>
      <c r="G10" s="910"/>
      <c r="H10" s="910"/>
      <c r="I10" s="910"/>
    </row>
    <row r="11" spans="2:9" ht="15.75">
      <c r="B11" s="624"/>
      <c r="C11" s="624"/>
      <c r="D11" s="624"/>
      <c r="E11" s="624"/>
      <c r="F11" s="624"/>
      <c r="G11" s="624"/>
      <c r="H11" s="624"/>
      <c r="I11" s="624"/>
    </row>
    <row r="12" spans="2:9" ht="15.75">
      <c r="B12" s="626" t="s">
        <v>813</v>
      </c>
      <c r="C12" s="624"/>
      <c r="D12" s="624"/>
      <c r="E12" s="624"/>
      <c r="F12" s="624"/>
      <c r="G12" s="624"/>
      <c r="H12" s="624"/>
      <c r="I12" s="624"/>
    </row>
    <row r="13" spans="2:9" ht="15.75">
      <c r="B13" s="624"/>
      <c r="C13" s="624"/>
      <c r="D13" s="624"/>
      <c r="E13" s="627" t="s">
        <v>807</v>
      </c>
      <c r="F13" s="624"/>
      <c r="G13" s="627" t="s">
        <v>814</v>
      </c>
      <c r="H13" s="624"/>
      <c r="I13" s="624"/>
    </row>
    <row r="14" spans="2:9" ht="15.75">
      <c r="B14" s="624"/>
      <c r="C14" s="624"/>
      <c r="D14" s="624"/>
      <c r="E14" s="628">
        <f>inputPrYr!C10-1</f>
        <v>2013</v>
      </c>
      <c r="F14" s="624"/>
      <c r="G14" s="628">
        <f>inputPrYr!C10</f>
        <v>2014</v>
      </c>
      <c r="H14" s="624"/>
      <c r="I14" s="624"/>
    </row>
    <row r="15" spans="2:9" ht="15.75">
      <c r="B15" s="625">
        <f>DebtSvs!B56</f>
        <v>0</v>
      </c>
      <c r="C15" s="624"/>
      <c r="D15" s="624"/>
      <c r="E15" s="629">
        <f>DebtSvs!D56</f>
        <v>0</v>
      </c>
      <c r="F15" s="624"/>
      <c r="G15" s="629">
        <f>DebtSvs!E89</f>
        <v>0</v>
      </c>
      <c r="H15" s="624"/>
      <c r="I15" s="624"/>
    </row>
    <row r="16" spans="2:9" ht="15.75">
      <c r="B16" s="625">
        <f>DebtSvs!B57</f>
        <v>0</v>
      </c>
      <c r="C16" s="624"/>
      <c r="D16" s="624"/>
      <c r="E16" s="629">
        <f>DebtSvs!D58</f>
        <v>0</v>
      </c>
      <c r="F16" s="624"/>
      <c r="G16" s="629">
        <f>DebtSvs!E58</f>
        <v>0</v>
      </c>
      <c r="H16" s="624"/>
      <c r="I16" s="624"/>
    </row>
    <row r="17" spans="2:9" ht="15.75">
      <c r="B17" s="625">
        <f>DebtSvs!B58</f>
        <v>0</v>
      </c>
      <c r="C17" s="624"/>
      <c r="D17" s="624"/>
      <c r="E17" s="629">
        <f>DebtSvs!D59</f>
        <v>0</v>
      </c>
      <c r="F17" s="624"/>
      <c r="G17" s="629">
        <f>DebtSvs!E59</f>
        <v>0</v>
      </c>
      <c r="H17" s="624"/>
      <c r="I17" s="624"/>
    </row>
    <row r="18" spans="2:9" ht="15.75">
      <c r="B18" s="625">
        <f>DebtSvs!B59</f>
        <v>0</v>
      </c>
      <c r="C18" s="624"/>
      <c r="D18" s="624"/>
      <c r="E18" s="629">
        <f>DebtSvs!D60</f>
        <v>0</v>
      </c>
      <c r="F18" s="624"/>
      <c r="G18" s="629">
        <f>DebtSvs!E60</f>
        <v>0</v>
      </c>
      <c r="H18" s="624"/>
      <c r="I18" s="624"/>
    </row>
    <row r="19" spans="2:9" ht="15.75">
      <c r="B19" s="625">
        <f>DebtSvs!B60</f>
        <v>0</v>
      </c>
      <c r="C19" s="624"/>
      <c r="D19" s="624"/>
      <c r="E19" s="629">
        <f>DebtSvs!D61</f>
        <v>0</v>
      </c>
      <c r="F19" s="624"/>
      <c r="G19" s="629">
        <f>DebtSvs!E61</f>
        <v>0</v>
      </c>
      <c r="H19" s="624"/>
      <c r="I19" s="624"/>
    </row>
    <row r="20" spans="2:9" ht="15.75">
      <c r="B20" s="624" t="s">
        <v>89</v>
      </c>
      <c r="C20" s="624"/>
      <c r="D20" s="624"/>
      <c r="E20" s="629">
        <v>0</v>
      </c>
      <c r="F20" s="624"/>
      <c r="G20" s="629">
        <v>0</v>
      </c>
      <c r="H20" s="624"/>
      <c r="I20" s="624"/>
    </row>
    <row r="21" spans="2:9" ht="15.75">
      <c r="B21" s="624"/>
      <c r="C21" s="624"/>
      <c r="D21" s="624"/>
      <c r="E21" s="629">
        <v>0</v>
      </c>
      <c r="F21" s="624"/>
      <c r="G21" s="629">
        <v>0</v>
      </c>
      <c r="H21" s="624"/>
      <c r="I21" s="624"/>
    </row>
    <row r="22" spans="2:9" ht="15.75">
      <c r="B22" s="624" t="s">
        <v>815</v>
      </c>
      <c r="C22" s="624"/>
      <c r="D22" s="624"/>
      <c r="E22" s="630">
        <f>SUM(E15:E21)</f>
        <v>0</v>
      </c>
      <c r="F22" s="624"/>
      <c r="G22" s="630">
        <f>SUM(G15:G21)</f>
        <v>0</v>
      </c>
      <c r="H22" s="624"/>
      <c r="I22" s="624"/>
    </row>
    <row r="23" spans="2:9" ht="15.75">
      <c r="B23" s="624" t="s">
        <v>816</v>
      </c>
      <c r="C23" s="624"/>
      <c r="D23" s="624"/>
      <c r="E23" s="631">
        <f>G22-E22</f>
        <v>0</v>
      </c>
      <c r="F23" s="624"/>
      <c r="G23" s="632"/>
      <c r="H23" s="624"/>
      <c r="I23" s="624"/>
    </row>
    <row r="24" spans="2:9" ht="15.75">
      <c r="B24" s="624" t="s">
        <v>817</v>
      </c>
      <c r="C24" s="624"/>
      <c r="D24" s="633" t="str">
        <f>IF((G22-E22)&gt;0,"Qualify","Not Qualify")</f>
        <v>Not Qualify</v>
      </c>
      <c r="E24" s="624"/>
      <c r="F24" s="624"/>
      <c r="G24" s="624"/>
      <c r="H24" s="624"/>
      <c r="I24" s="624"/>
    </row>
    <row r="25" spans="2:9" ht="15.75">
      <c r="B25" s="624"/>
      <c r="C25" s="624"/>
      <c r="D25" s="624"/>
      <c r="E25" s="624"/>
      <c r="F25" s="624"/>
      <c r="G25" s="624"/>
      <c r="H25" s="624"/>
      <c r="I25" s="624"/>
    </row>
    <row r="26" spans="2:9" ht="15.75">
      <c r="B26" s="626" t="s">
        <v>818</v>
      </c>
      <c r="C26" s="624"/>
      <c r="D26" s="624"/>
      <c r="E26" s="624"/>
      <c r="F26" s="624"/>
      <c r="G26" s="624"/>
      <c r="H26" s="624"/>
      <c r="I26" s="624"/>
    </row>
    <row r="27" spans="2:9" ht="15.75">
      <c r="B27" s="624" t="s">
        <v>819</v>
      </c>
      <c r="C27" s="624"/>
      <c r="D27" s="624"/>
      <c r="E27" s="629">
        <f>summ!D50</f>
        <v>66216245</v>
      </c>
      <c r="F27" s="624"/>
      <c r="G27" s="629">
        <f>summ!F50</f>
        <v>65580249</v>
      </c>
      <c r="H27" s="624"/>
      <c r="I27" s="624"/>
    </row>
    <row r="28" spans="2:9" ht="15.75">
      <c r="B28" s="624" t="s">
        <v>820</v>
      </c>
      <c r="C28" s="624"/>
      <c r="D28" s="624"/>
      <c r="E28" s="634" t="str">
        <f>IF(G27-E27&gt;=0,"No","Yes")</f>
        <v>Yes</v>
      </c>
      <c r="F28" s="624"/>
      <c r="G28" s="624"/>
      <c r="H28" s="624"/>
      <c r="I28" s="624"/>
    </row>
    <row r="29" spans="2:9" ht="15.75">
      <c r="B29" s="624" t="s">
        <v>821</v>
      </c>
      <c r="C29" s="624"/>
      <c r="D29" s="624"/>
      <c r="E29" s="627">
        <f>summ!E15</f>
        <v>4.9450000000000003</v>
      </c>
      <c r="F29" s="624"/>
      <c r="G29" s="635">
        <f>summ!H15</f>
        <v>5.1558000000000002</v>
      </c>
      <c r="H29" s="624"/>
      <c r="I29" s="624"/>
    </row>
    <row r="30" spans="2:9" ht="15.75">
      <c r="B30" s="624" t="s">
        <v>822</v>
      </c>
      <c r="C30" s="624"/>
      <c r="D30" s="624"/>
      <c r="E30" s="636">
        <f>G29-E29</f>
        <v>0.21079999999999988</v>
      </c>
      <c r="F30" s="624"/>
      <c r="G30" s="624"/>
      <c r="H30" s="624"/>
      <c r="I30" s="624"/>
    </row>
    <row r="31" spans="2:9" ht="15.75">
      <c r="B31" s="624" t="s">
        <v>817</v>
      </c>
      <c r="C31" s="624"/>
      <c r="D31" s="637" t="str">
        <f>IF(E30&gt;=0,"Qualify","Not Qualify")</f>
        <v>Qualify</v>
      </c>
      <c r="E31" s="624"/>
      <c r="F31" s="624"/>
      <c r="G31" s="624"/>
      <c r="H31" s="624"/>
      <c r="I31" s="624"/>
    </row>
    <row r="32" spans="2:9" ht="15.75">
      <c r="B32" s="624"/>
      <c r="C32" s="624"/>
      <c r="D32" s="624"/>
      <c r="E32" s="624"/>
      <c r="F32" s="624"/>
      <c r="G32" s="624"/>
      <c r="H32" s="624"/>
      <c r="I32" s="624"/>
    </row>
    <row r="33" spans="2:9" ht="15.75">
      <c r="B33" s="624" t="s">
        <v>823</v>
      </c>
      <c r="C33" s="624"/>
      <c r="D33" s="624"/>
      <c r="E33" s="624"/>
      <c r="F33" s="638" t="str">
        <f>IF(D24="Not Qualify",IF(D31="Not Qualify",IF(D31="Not Qualify","Not Qualify","Qualify"),"Qualify"),"Qualify")</f>
        <v>Qualify</v>
      </c>
      <c r="G33" s="624"/>
      <c r="H33" s="624"/>
      <c r="I33" s="624"/>
    </row>
    <row r="34" spans="2:9" ht="15.75">
      <c r="B34" s="624"/>
      <c r="C34" s="624"/>
      <c r="D34" s="624"/>
      <c r="E34" s="624"/>
      <c r="F34" s="624"/>
      <c r="G34" s="624"/>
      <c r="H34" s="624"/>
      <c r="I34" s="624"/>
    </row>
    <row r="35" spans="2:9" ht="15.75">
      <c r="B35" s="624"/>
      <c r="C35" s="624"/>
      <c r="D35" s="624"/>
      <c r="E35" s="624"/>
      <c r="F35" s="624"/>
      <c r="G35" s="624"/>
      <c r="H35" s="624"/>
      <c r="I35" s="624"/>
    </row>
    <row r="36" spans="2:9" ht="37.5" customHeight="1">
      <c r="B36" s="910" t="s">
        <v>824</v>
      </c>
      <c r="C36" s="910"/>
      <c r="D36" s="910"/>
      <c r="E36" s="910"/>
      <c r="F36" s="910"/>
      <c r="G36" s="910"/>
      <c r="H36" s="910"/>
      <c r="I36" s="910"/>
    </row>
    <row r="37" spans="2:9" ht="15.75">
      <c r="B37" s="624"/>
      <c r="C37" s="624"/>
      <c r="D37" s="624"/>
      <c r="E37" s="624"/>
      <c r="F37" s="624"/>
      <c r="G37" s="624"/>
      <c r="H37" s="624"/>
      <c r="I37" s="624"/>
    </row>
    <row r="38" spans="2:9" ht="15.75">
      <c r="B38" s="624"/>
      <c r="C38" s="624"/>
      <c r="D38" s="624"/>
      <c r="E38" s="624"/>
      <c r="F38" s="624"/>
      <c r="G38" s="624"/>
      <c r="H38" s="624"/>
      <c r="I38" s="624"/>
    </row>
    <row r="39" spans="2:9" ht="15.75">
      <c r="B39" s="624"/>
      <c r="C39" s="624"/>
      <c r="D39" s="624"/>
      <c r="E39" s="624"/>
      <c r="F39" s="624"/>
      <c r="G39" s="624"/>
      <c r="H39" s="624"/>
      <c r="I39" s="624"/>
    </row>
    <row r="40" spans="2:9" ht="15.75">
      <c r="B40" s="624"/>
      <c r="C40" s="624"/>
      <c r="D40" s="624"/>
      <c r="E40" s="639" t="s">
        <v>290</v>
      </c>
      <c r="F40" s="640">
        <v>7</v>
      </c>
      <c r="G40" s="624"/>
      <c r="H40" s="624"/>
      <c r="I40" s="624"/>
    </row>
    <row r="41" spans="2:9" ht="15.75">
      <c r="B41" s="624"/>
      <c r="C41" s="624"/>
      <c r="D41" s="624"/>
      <c r="E41" s="624"/>
      <c r="F41" s="624"/>
      <c r="G41" s="624"/>
      <c r="H41" s="624"/>
      <c r="I41" s="624"/>
    </row>
    <row r="42" spans="2:9" ht="15.75">
      <c r="B42" s="624"/>
      <c r="C42" s="624"/>
      <c r="D42" s="624"/>
      <c r="E42" s="624"/>
      <c r="F42" s="624"/>
      <c r="G42" s="624"/>
      <c r="H42" s="624"/>
      <c r="I42" s="624"/>
    </row>
    <row r="43" spans="2:9" ht="15.75">
      <c r="B43" s="906" t="s">
        <v>825</v>
      </c>
      <c r="C43" s="907"/>
      <c r="D43" s="907"/>
      <c r="E43" s="907"/>
      <c r="F43" s="907"/>
      <c r="G43" s="907"/>
      <c r="H43" s="907"/>
      <c r="I43" s="907"/>
    </row>
    <row r="44" spans="2:9" ht="15.75">
      <c r="B44" s="624"/>
      <c r="C44" s="624"/>
      <c r="D44" s="624"/>
      <c r="E44" s="624"/>
      <c r="F44" s="624"/>
      <c r="G44" s="624"/>
      <c r="H44" s="624"/>
      <c r="I44" s="624"/>
    </row>
    <row r="45" spans="2:9" ht="15.75">
      <c r="B45" s="641" t="s">
        <v>826</v>
      </c>
      <c r="C45" s="624"/>
      <c r="D45" s="624"/>
      <c r="E45" s="624"/>
      <c r="F45" s="624"/>
      <c r="G45" s="624"/>
      <c r="H45" s="624"/>
      <c r="I45" s="624"/>
    </row>
    <row r="46" spans="2:9" ht="15.75">
      <c r="B46" s="641" t="str">
        <f>CONCATENATE("sources in your ",G14," library fund is not equal to or greater than the amount from the same")</f>
        <v>sources in your 2014 library fund is not equal to or greater than the amount from the same</v>
      </c>
      <c r="C46" s="624"/>
      <c r="D46" s="624"/>
      <c r="E46" s="624"/>
      <c r="F46" s="624"/>
      <c r="G46" s="624"/>
      <c r="H46" s="624"/>
      <c r="I46" s="624"/>
    </row>
    <row r="47" spans="2:9" ht="15.75">
      <c r="B47" s="641" t="str">
        <f>CONCATENATE("sources in ",E14,".")</f>
        <v>sources in 2013.</v>
      </c>
      <c r="C47" s="622"/>
      <c r="D47" s="622"/>
      <c r="E47" s="622"/>
      <c r="F47" s="622"/>
      <c r="G47" s="622"/>
      <c r="H47" s="622"/>
      <c r="I47" s="622"/>
    </row>
    <row r="48" spans="2:9" ht="15.75">
      <c r="B48" s="622"/>
      <c r="C48" s="622"/>
      <c r="D48" s="622"/>
      <c r="E48" s="622"/>
      <c r="F48" s="622"/>
      <c r="G48" s="622"/>
      <c r="H48" s="622"/>
      <c r="I48" s="622"/>
    </row>
    <row r="49" spans="2:9" ht="15.75">
      <c r="B49" s="641" t="s">
        <v>827</v>
      </c>
      <c r="C49" s="641"/>
      <c r="D49" s="642"/>
      <c r="E49" s="642"/>
      <c r="F49" s="642"/>
      <c r="G49" s="642"/>
      <c r="H49" s="642"/>
      <c r="I49" s="642"/>
    </row>
    <row r="50" spans="2:9" ht="15.75">
      <c r="B50" s="641" t="s">
        <v>828</v>
      </c>
      <c r="C50" s="641"/>
      <c r="D50" s="642"/>
      <c r="E50" s="642"/>
      <c r="F50" s="642"/>
      <c r="G50" s="642"/>
      <c r="H50" s="642"/>
      <c r="I50" s="642"/>
    </row>
    <row r="51" spans="2:9" ht="15.75">
      <c r="B51" s="641" t="s">
        <v>829</v>
      </c>
      <c r="C51" s="641"/>
      <c r="D51" s="642"/>
      <c r="E51" s="642"/>
      <c r="F51" s="642"/>
      <c r="G51" s="642"/>
      <c r="H51" s="642"/>
      <c r="I51" s="642"/>
    </row>
    <row r="52" spans="2:9">
      <c r="B52" s="642"/>
      <c r="C52" s="642"/>
      <c r="D52" s="642"/>
      <c r="E52" s="642"/>
      <c r="F52" s="642"/>
      <c r="G52" s="642"/>
      <c r="H52" s="642"/>
      <c r="I52" s="642"/>
    </row>
    <row r="53" spans="2:9" ht="15.75">
      <c r="B53" s="643" t="s">
        <v>830</v>
      </c>
      <c r="C53" s="642"/>
      <c r="D53" s="642"/>
      <c r="E53" s="642"/>
      <c r="F53" s="642"/>
      <c r="G53" s="642"/>
      <c r="H53" s="642"/>
      <c r="I53" s="642"/>
    </row>
    <row r="54" spans="2:9">
      <c r="B54" s="642"/>
      <c r="C54" s="642"/>
      <c r="D54" s="642"/>
      <c r="E54" s="642"/>
      <c r="F54" s="642"/>
      <c r="G54" s="642"/>
      <c r="H54" s="642"/>
      <c r="I54" s="642"/>
    </row>
    <row r="55" spans="2:9" ht="15.75">
      <c r="B55" s="641" t="s">
        <v>831</v>
      </c>
      <c r="C55" s="642"/>
      <c r="D55" s="642"/>
      <c r="E55" s="642"/>
      <c r="F55" s="642"/>
      <c r="G55" s="642"/>
      <c r="H55" s="642"/>
      <c r="I55" s="642"/>
    </row>
    <row r="56" spans="2:9" ht="15.75">
      <c r="B56" s="641" t="s">
        <v>832</v>
      </c>
      <c r="C56" s="642"/>
      <c r="D56" s="642"/>
      <c r="E56" s="642"/>
      <c r="F56" s="642"/>
      <c r="G56" s="642"/>
      <c r="H56" s="642"/>
      <c r="I56" s="642"/>
    </row>
    <row r="57" spans="2:9">
      <c r="B57" s="642"/>
      <c r="C57" s="642"/>
      <c r="D57" s="642"/>
      <c r="E57" s="642"/>
      <c r="F57" s="642"/>
      <c r="G57" s="642"/>
      <c r="H57" s="642"/>
      <c r="I57" s="642"/>
    </row>
    <row r="58" spans="2:9" ht="15.75">
      <c r="B58" s="643" t="s">
        <v>833</v>
      </c>
      <c r="C58" s="641"/>
      <c r="D58" s="641"/>
      <c r="E58" s="641"/>
      <c r="F58" s="641"/>
      <c r="G58" s="642"/>
      <c r="H58" s="642"/>
      <c r="I58" s="642"/>
    </row>
    <row r="59" spans="2:9" ht="15.75">
      <c r="B59" s="641"/>
      <c r="C59" s="641"/>
      <c r="D59" s="641"/>
      <c r="E59" s="641"/>
      <c r="F59" s="641"/>
      <c r="G59" s="642"/>
      <c r="H59" s="642"/>
      <c r="I59" s="642"/>
    </row>
    <row r="60" spans="2:9" ht="15.75">
      <c r="B60" s="641" t="s">
        <v>834</v>
      </c>
      <c r="C60" s="641"/>
      <c r="D60" s="641"/>
      <c r="E60" s="641"/>
      <c r="F60" s="641"/>
      <c r="G60" s="642"/>
      <c r="H60" s="642"/>
      <c r="I60" s="642"/>
    </row>
    <row r="61" spans="2:9" ht="15.75">
      <c r="B61" s="641" t="s">
        <v>835</v>
      </c>
      <c r="C61" s="641"/>
      <c r="D61" s="641"/>
      <c r="E61" s="641"/>
      <c r="F61" s="641"/>
      <c r="G61" s="642"/>
      <c r="H61" s="642"/>
      <c r="I61" s="642"/>
    </row>
    <row r="62" spans="2:9" ht="15.75">
      <c r="B62" s="641" t="s">
        <v>836</v>
      </c>
      <c r="C62" s="641"/>
      <c r="D62" s="641"/>
      <c r="E62" s="641"/>
      <c r="F62" s="641"/>
      <c r="G62" s="642"/>
      <c r="H62" s="642"/>
      <c r="I62" s="642"/>
    </row>
    <row r="63" spans="2:9" ht="15.75">
      <c r="B63" s="641" t="s">
        <v>837</v>
      </c>
      <c r="C63" s="641"/>
      <c r="D63" s="641"/>
      <c r="E63" s="641"/>
      <c r="F63" s="641"/>
      <c r="G63" s="642"/>
      <c r="H63" s="642"/>
      <c r="I63" s="642"/>
    </row>
    <row r="64" spans="2:9">
      <c r="B64" s="644"/>
      <c r="C64" s="644"/>
      <c r="D64" s="644"/>
      <c r="E64" s="644"/>
      <c r="F64" s="644"/>
      <c r="G64" s="642"/>
      <c r="H64" s="642"/>
      <c r="I64" s="642"/>
    </row>
    <row r="65" spans="2:9" ht="15.75">
      <c r="B65" s="641" t="s">
        <v>838</v>
      </c>
      <c r="C65" s="644"/>
      <c r="D65" s="644"/>
      <c r="E65" s="644"/>
      <c r="F65" s="644"/>
      <c r="G65" s="642"/>
      <c r="H65" s="642"/>
      <c r="I65" s="642"/>
    </row>
    <row r="66" spans="2:9" ht="15.75">
      <c r="B66" s="641" t="s">
        <v>839</v>
      </c>
      <c r="C66" s="644"/>
      <c r="D66" s="644"/>
      <c r="E66" s="644"/>
      <c r="F66" s="644"/>
      <c r="G66" s="642"/>
      <c r="H66" s="642"/>
      <c r="I66" s="642"/>
    </row>
    <row r="67" spans="2:9">
      <c r="B67" s="644"/>
      <c r="C67" s="644"/>
      <c r="D67" s="644"/>
      <c r="E67" s="644"/>
      <c r="F67" s="644"/>
      <c r="G67" s="642"/>
      <c r="H67" s="642"/>
      <c r="I67" s="642"/>
    </row>
    <row r="68" spans="2:9" ht="15.75">
      <c r="B68" s="641" t="s">
        <v>840</v>
      </c>
      <c r="C68" s="644"/>
      <c r="D68" s="644"/>
      <c r="E68" s="644"/>
      <c r="F68" s="644"/>
      <c r="G68" s="642"/>
      <c r="H68" s="642"/>
      <c r="I68" s="642"/>
    </row>
    <row r="69" spans="2:9" ht="15.75">
      <c r="B69" s="641" t="s">
        <v>841</v>
      </c>
      <c r="C69" s="644"/>
      <c r="D69" s="644"/>
      <c r="E69" s="644"/>
      <c r="F69" s="644"/>
      <c r="G69" s="642"/>
      <c r="H69" s="642"/>
      <c r="I69" s="642"/>
    </row>
    <row r="70" spans="2:9">
      <c r="B70" s="644"/>
      <c r="C70" s="644"/>
      <c r="D70" s="644"/>
      <c r="E70" s="644"/>
      <c r="F70" s="644"/>
      <c r="G70" s="642"/>
      <c r="H70" s="642"/>
      <c r="I70" s="642"/>
    </row>
    <row r="71" spans="2:9" ht="15.75">
      <c r="B71" s="643" t="s">
        <v>842</v>
      </c>
      <c r="C71" s="644"/>
      <c r="D71" s="644"/>
      <c r="E71" s="644"/>
      <c r="F71" s="644"/>
      <c r="G71" s="642"/>
      <c r="H71" s="642"/>
      <c r="I71" s="642"/>
    </row>
    <row r="72" spans="2:9">
      <c r="B72" s="644"/>
      <c r="C72" s="644"/>
      <c r="D72" s="644"/>
      <c r="E72" s="644"/>
      <c r="F72" s="644"/>
      <c r="G72" s="642"/>
      <c r="H72" s="642"/>
      <c r="I72" s="642"/>
    </row>
    <row r="73" spans="2:9" ht="15.75">
      <c r="B73" s="641" t="s">
        <v>843</v>
      </c>
      <c r="C73" s="644"/>
      <c r="D73" s="644"/>
      <c r="E73" s="644"/>
      <c r="F73" s="644"/>
      <c r="G73" s="642"/>
      <c r="H73" s="642"/>
      <c r="I73" s="642"/>
    </row>
    <row r="74" spans="2:9" ht="15.75">
      <c r="B74" s="641" t="s">
        <v>844</v>
      </c>
      <c r="C74" s="644"/>
      <c r="D74" s="644"/>
      <c r="E74" s="644"/>
      <c r="F74" s="644"/>
      <c r="G74" s="642"/>
      <c r="H74" s="642"/>
      <c r="I74" s="642"/>
    </row>
    <row r="75" spans="2:9">
      <c r="B75" s="644"/>
      <c r="C75" s="644"/>
      <c r="D75" s="644"/>
      <c r="E75" s="644"/>
      <c r="F75" s="644"/>
      <c r="G75" s="642"/>
      <c r="H75" s="642"/>
      <c r="I75" s="642"/>
    </row>
    <row r="76" spans="2:9" ht="15.75">
      <c r="B76" s="643" t="s">
        <v>845</v>
      </c>
      <c r="C76" s="644"/>
      <c r="D76" s="644"/>
      <c r="E76" s="644"/>
      <c r="F76" s="644"/>
      <c r="G76" s="642"/>
      <c r="H76" s="642"/>
      <c r="I76" s="642"/>
    </row>
    <row r="77" spans="2:9">
      <c r="B77" s="644"/>
      <c r="C77" s="644"/>
      <c r="D77" s="644"/>
      <c r="E77" s="644"/>
      <c r="F77" s="644"/>
      <c r="G77" s="642"/>
      <c r="H77" s="642"/>
      <c r="I77" s="642"/>
    </row>
    <row r="78" spans="2:9" ht="15.75">
      <c r="B78" s="641" t="str">
        <f>CONCATENATE("If the ",G14," municipal budget has not been published and has not been submitted to the County")</f>
        <v>If the 2014 municipal budget has not been published and has not been submitted to the County</v>
      </c>
      <c r="C78" s="644"/>
      <c r="D78" s="644"/>
      <c r="E78" s="644"/>
      <c r="F78" s="644"/>
      <c r="G78" s="642"/>
      <c r="H78" s="642"/>
      <c r="I78" s="642"/>
    </row>
    <row r="79" spans="2:9" ht="15.75">
      <c r="B79" s="641" t="s">
        <v>846</v>
      </c>
      <c r="C79" s="644"/>
      <c r="D79" s="644"/>
      <c r="E79" s="644"/>
      <c r="F79" s="644"/>
      <c r="G79" s="642"/>
      <c r="H79" s="642"/>
      <c r="I79" s="642"/>
    </row>
    <row r="80" spans="2:9">
      <c r="B80" s="644"/>
      <c r="C80" s="644"/>
      <c r="D80" s="644"/>
      <c r="E80" s="644"/>
      <c r="F80" s="644"/>
      <c r="G80" s="642"/>
      <c r="H80" s="642"/>
      <c r="I80" s="642"/>
    </row>
    <row r="81" spans="2:9" ht="15.75">
      <c r="B81" s="643" t="s">
        <v>427</v>
      </c>
      <c r="C81" s="644"/>
      <c r="D81" s="644"/>
      <c r="E81" s="644"/>
      <c r="F81" s="644"/>
      <c r="G81" s="642"/>
      <c r="H81" s="642"/>
      <c r="I81" s="642"/>
    </row>
    <row r="82" spans="2:9">
      <c r="B82" s="644"/>
      <c r="C82" s="644"/>
      <c r="D82" s="644"/>
      <c r="E82" s="644"/>
      <c r="F82" s="644"/>
      <c r="G82" s="642"/>
      <c r="H82" s="642"/>
      <c r="I82" s="642"/>
    </row>
    <row r="83" spans="2:9" ht="15.75">
      <c r="B83" s="641" t="s">
        <v>847</v>
      </c>
      <c r="C83" s="644"/>
      <c r="D83" s="644"/>
      <c r="E83" s="644"/>
      <c r="F83" s="644"/>
      <c r="G83" s="642"/>
      <c r="H83" s="642"/>
      <c r="I83" s="642"/>
    </row>
    <row r="84" spans="2:9" ht="15.75">
      <c r="B84" s="641" t="str">
        <f>CONCATENATE("Budget Year ",G14," is equal to or greater than that for Current Year Estimate ",E14,".")</f>
        <v>Budget Year 2014 is equal to or greater than that for Current Year Estimate 2013.</v>
      </c>
      <c r="C84" s="644"/>
      <c r="D84" s="644"/>
      <c r="E84" s="644"/>
      <c r="F84" s="644"/>
      <c r="G84" s="642"/>
      <c r="H84" s="642"/>
      <c r="I84" s="642"/>
    </row>
    <row r="85" spans="2:9">
      <c r="B85" s="644"/>
      <c r="C85" s="644"/>
      <c r="D85" s="644"/>
      <c r="E85" s="644"/>
      <c r="F85" s="644"/>
      <c r="G85" s="642"/>
      <c r="H85" s="642"/>
      <c r="I85" s="642"/>
    </row>
    <row r="86" spans="2:9" ht="15.75">
      <c r="B86" s="641" t="s">
        <v>848</v>
      </c>
      <c r="C86" s="644"/>
      <c r="D86" s="644"/>
      <c r="E86" s="644"/>
      <c r="F86" s="644"/>
      <c r="G86" s="642"/>
      <c r="H86" s="642"/>
      <c r="I86" s="642"/>
    </row>
    <row r="87" spans="2:9" ht="15.75">
      <c r="B87" s="641" t="s">
        <v>849</v>
      </c>
      <c r="C87" s="644"/>
      <c r="D87" s="644"/>
      <c r="E87" s="644"/>
      <c r="F87" s="644"/>
      <c r="G87" s="642"/>
      <c r="H87" s="642"/>
      <c r="I87" s="642"/>
    </row>
    <row r="88" spans="2:9" ht="15.75">
      <c r="B88" s="641" t="s">
        <v>850</v>
      </c>
      <c r="C88" s="644"/>
      <c r="D88" s="644"/>
      <c r="E88" s="644"/>
      <c r="F88" s="644"/>
      <c r="G88" s="642"/>
      <c r="H88" s="642"/>
      <c r="I88" s="642"/>
    </row>
    <row r="89" spans="2:9" ht="15.75">
      <c r="B89" s="641" t="str">
        <f>CONCATENATE("purpose for the previous (",E14,") year.")</f>
        <v>purpose for the previous (2013) year.</v>
      </c>
      <c r="C89" s="644"/>
      <c r="D89" s="644"/>
      <c r="E89" s="644"/>
      <c r="F89" s="644"/>
      <c r="G89" s="642"/>
      <c r="H89" s="642"/>
      <c r="I89" s="642"/>
    </row>
    <row r="90" spans="2:9">
      <c r="B90" s="644"/>
      <c r="C90" s="644"/>
      <c r="D90" s="644"/>
      <c r="E90" s="644"/>
      <c r="F90" s="644"/>
      <c r="G90" s="642"/>
      <c r="H90" s="642"/>
      <c r="I90" s="642"/>
    </row>
    <row r="91" spans="2:9" ht="15.75">
      <c r="B91" s="641" t="str">
        <f>CONCATENATE("Next, look to see if delinquent tax for ",G14," is budgeted. Often this line is budgeted at $0 or left")</f>
        <v>Next, look to see if delinquent tax for 2014 is budgeted. Often this line is budgeted at $0 or left</v>
      </c>
      <c r="C91" s="644"/>
      <c r="D91" s="644"/>
      <c r="E91" s="644"/>
      <c r="F91" s="644"/>
      <c r="G91" s="642"/>
      <c r="H91" s="642"/>
      <c r="I91" s="642"/>
    </row>
    <row r="92" spans="2:9" ht="15.75">
      <c r="B92" s="641" t="s">
        <v>851</v>
      </c>
      <c r="C92" s="644"/>
      <c r="D92" s="644"/>
      <c r="E92" s="644"/>
      <c r="F92" s="644"/>
      <c r="G92" s="642"/>
      <c r="H92" s="642"/>
      <c r="I92" s="642"/>
    </row>
    <row r="93" spans="2:9" ht="15.75">
      <c r="B93" s="641" t="s">
        <v>852</v>
      </c>
      <c r="C93" s="644"/>
      <c r="D93" s="644"/>
      <c r="E93" s="644"/>
      <c r="F93" s="644"/>
      <c r="G93" s="642"/>
      <c r="H93" s="642"/>
      <c r="I93" s="642"/>
    </row>
    <row r="94" spans="2:9" ht="15.75">
      <c r="B94" s="641" t="s">
        <v>853</v>
      </c>
      <c r="C94" s="644"/>
      <c r="D94" s="644"/>
      <c r="E94" s="644"/>
      <c r="F94" s="644"/>
      <c r="G94" s="642"/>
      <c r="H94" s="642"/>
      <c r="I94" s="642"/>
    </row>
    <row r="95" spans="2:9">
      <c r="B95" s="644"/>
      <c r="C95" s="644"/>
      <c r="D95" s="644"/>
      <c r="E95" s="644"/>
      <c r="F95" s="644"/>
      <c r="G95" s="642"/>
      <c r="H95" s="642"/>
      <c r="I95" s="642"/>
    </row>
    <row r="96" spans="2:9" ht="15.75">
      <c r="B96" s="643" t="s">
        <v>854</v>
      </c>
      <c r="C96" s="644"/>
      <c r="D96" s="644"/>
      <c r="E96" s="644"/>
      <c r="F96" s="644"/>
      <c r="G96" s="642"/>
      <c r="H96" s="642"/>
      <c r="I96" s="642"/>
    </row>
    <row r="97" spans="2:9">
      <c r="B97" s="644"/>
      <c r="C97" s="644"/>
      <c r="D97" s="644"/>
      <c r="E97" s="644"/>
      <c r="F97" s="644"/>
      <c r="G97" s="642"/>
      <c r="H97" s="642"/>
      <c r="I97" s="642"/>
    </row>
    <row r="98" spans="2:9" ht="15.75">
      <c r="B98" s="641" t="s">
        <v>855</v>
      </c>
      <c r="C98" s="644"/>
      <c r="D98" s="644"/>
      <c r="E98" s="644"/>
      <c r="F98" s="644"/>
      <c r="G98" s="642"/>
      <c r="H98" s="642"/>
      <c r="I98" s="642"/>
    </row>
    <row r="99" spans="2:9" ht="15.75">
      <c r="B99" s="641" t="s">
        <v>856</v>
      </c>
      <c r="C99" s="644"/>
      <c r="D99" s="644"/>
      <c r="E99" s="644"/>
      <c r="F99" s="644"/>
      <c r="G99" s="642"/>
      <c r="H99" s="642"/>
      <c r="I99" s="642"/>
    </row>
    <row r="100" spans="2:9">
      <c r="B100" s="644"/>
      <c r="C100" s="644"/>
      <c r="D100" s="644"/>
      <c r="E100" s="644"/>
      <c r="F100" s="644"/>
      <c r="G100" s="642"/>
      <c r="H100" s="642"/>
      <c r="I100" s="642"/>
    </row>
    <row r="101" spans="2:9" ht="15.75">
      <c r="B101" s="641" t="s">
        <v>857</v>
      </c>
      <c r="C101" s="644"/>
      <c r="D101" s="644"/>
      <c r="E101" s="644"/>
      <c r="F101" s="644"/>
      <c r="G101" s="642"/>
      <c r="H101" s="642"/>
      <c r="I101" s="642"/>
    </row>
    <row r="102" spans="2:9" ht="15.75">
      <c r="B102" s="641" t="s">
        <v>858</v>
      </c>
      <c r="C102" s="644"/>
      <c r="D102" s="644"/>
      <c r="E102" s="644"/>
      <c r="F102" s="644"/>
      <c r="G102" s="642"/>
      <c r="H102" s="642"/>
      <c r="I102" s="642"/>
    </row>
    <row r="103" spans="2:9" ht="15.75">
      <c r="B103" s="641" t="s">
        <v>859</v>
      </c>
      <c r="C103" s="644"/>
      <c r="D103" s="644"/>
      <c r="E103" s="644"/>
      <c r="F103" s="644"/>
      <c r="G103" s="642"/>
      <c r="H103" s="642"/>
      <c r="I103" s="642"/>
    </row>
    <row r="104" spans="2:9" ht="15.75">
      <c r="B104" s="641" t="s">
        <v>860</v>
      </c>
      <c r="C104" s="644"/>
      <c r="D104" s="644"/>
      <c r="E104" s="644"/>
      <c r="F104" s="644"/>
      <c r="G104" s="642"/>
      <c r="H104" s="642"/>
      <c r="I104" s="642"/>
    </row>
    <row r="105" spans="2:9" ht="15.75">
      <c r="B105" s="776" t="s">
        <v>971</v>
      </c>
      <c r="C105" s="777"/>
      <c r="D105" s="777"/>
      <c r="E105" s="777"/>
      <c r="F105" s="777"/>
      <c r="G105" s="642"/>
      <c r="H105" s="642"/>
      <c r="I105" s="642"/>
    </row>
    <row r="108" spans="2:9">
      <c r="G108" s="645"/>
    </row>
  </sheetData>
  <sheetProtection sheet="1"/>
  <mergeCells count="6">
    <mergeCell ref="B43:I43"/>
    <mergeCell ref="B2:I2"/>
    <mergeCell ref="B3:I3"/>
    <mergeCell ref="B5:I5"/>
    <mergeCell ref="B10:I10"/>
    <mergeCell ref="B36:I36"/>
  </mergeCells>
  <hyperlinks>
    <hyperlink ref="B105" r:id="rId1" display="mailto:peter.haxton@library.ks.gov"/>
  </hyperlinks>
  <pageMargins left="0.7" right="0.7" top="0.75" bottom="0.75" header="0.25" footer="0.25"/>
  <pageSetup scale="80" orientation="portrait" blackAndWhite="1" r:id="rId2"/>
  <rowBreaks count="1" manualBreakCount="1">
    <brk id="40" max="16383" man="1"/>
  </rowBreaks>
</worksheet>
</file>

<file path=xl/worksheets/sheet13.xml><?xml version="1.0" encoding="utf-8"?>
<worksheet xmlns="http://schemas.openxmlformats.org/spreadsheetml/2006/main" xmlns:r="http://schemas.openxmlformats.org/officeDocument/2006/relationships">
  <dimension ref="B1:K115"/>
  <sheetViews>
    <sheetView zoomScaleNormal="100" workbookViewId="0">
      <selection activeCell="I6" sqref="I6"/>
    </sheetView>
  </sheetViews>
  <sheetFormatPr defaultColWidth="8.88671875" defaultRowHeight="15.75"/>
  <cols>
    <col min="1" max="1" width="2.44140625" style="80" customWidth="1"/>
    <col min="2" max="2" width="31.109375" style="80" customWidth="1"/>
    <col min="3" max="3" width="14.109375" style="80" customWidth="1"/>
    <col min="4" max="4" width="14.77734375" style="80" customWidth="1"/>
    <col min="5" max="5" width="14.109375" style="80" customWidth="1"/>
    <col min="6" max="6" width="8.109375" style="80" customWidth="1"/>
    <col min="7" max="7" width="10.21875" style="80" customWidth="1"/>
    <col min="8" max="8" width="8.88671875" style="80" customWidth="1"/>
    <col min="9" max="9" width="5" style="80" customWidth="1"/>
    <col min="10" max="10" width="10" style="80" customWidth="1"/>
    <col min="11" max="16384" width="8.88671875" style="80"/>
  </cols>
  <sheetData>
    <row r="1" spans="2:11">
      <c r="B1" s="253" t="str">
        <f>inputPrYr!D3</f>
        <v>City of Bonner Springs</v>
      </c>
      <c r="C1" s="84"/>
      <c r="D1" s="84"/>
      <c r="E1" s="277">
        <f>inputPrYr!C10</f>
        <v>2014</v>
      </c>
    </row>
    <row r="2" spans="2:11">
      <c r="B2" s="497" t="s">
        <v>6</v>
      </c>
      <c r="C2" s="379"/>
      <c r="D2" s="379"/>
      <c r="E2" s="379"/>
    </row>
    <row r="3" spans="2:11">
      <c r="B3" s="231" t="s">
        <v>282</v>
      </c>
      <c r="C3" s="614" t="s">
        <v>806</v>
      </c>
      <c r="D3" s="615" t="s">
        <v>807</v>
      </c>
      <c r="E3" s="204" t="s">
        <v>808</v>
      </c>
    </row>
    <row r="4" spans="2:11">
      <c r="B4" s="561" t="str">
        <f>inputPrYr!B22</f>
        <v>General</v>
      </c>
      <c r="C4" s="440" t="str">
        <f>CONCATENATE("Actual for ",E1-2,"")</f>
        <v>Actual for 2012</v>
      </c>
      <c r="D4" s="440" t="str">
        <f>CONCATENATE("Estimate for ",E1-1,"")</f>
        <v>Estimate for 2013</v>
      </c>
      <c r="E4" s="268" t="str">
        <f>CONCATENATE("Year for ",E1,"")</f>
        <v>Year for 2014</v>
      </c>
      <c r="K4" s="620"/>
    </row>
    <row r="5" spans="2:11">
      <c r="B5" s="360" t="s">
        <v>57</v>
      </c>
      <c r="C5" s="432">
        <v>2391879</v>
      </c>
      <c r="D5" s="437">
        <f>C80</f>
        <v>2505573.7300000004</v>
      </c>
      <c r="E5" s="346">
        <f>D80</f>
        <v>1479087.7300000004</v>
      </c>
    </row>
    <row r="6" spans="2:11">
      <c r="B6" s="361" t="s">
        <v>59</v>
      </c>
      <c r="C6" s="218"/>
      <c r="D6" s="218"/>
      <c r="E6" s="124"/>
    </row>
    <row r="7" spans="2:11">
      <c r="B7" s="360" t="s">
        <v>283</v>
      </c>
      <c r="C7" s="432">
        <v>1193239</v>
      </c>
      <c r="D7" s="437">
        <v>1165374</v>
      </c>
      <c r="E7" s="380" t="s">
        <v>272</v>
      </c>
    </row>
    <row r="8" spans="2:11">
      <c r="B8" s="360" t="s">
        <v>285</v>
      </c>
      <c r="C8" s="432">
        <v>140320</v>
      </c>
      <c r="D8" s="432">
        <v>145732</v>
      </c>
      <c r="E8" s="346">
        <f>mvalloc!D8</f>
        <v>146747.25</v>
      </c>
    </row>
    <row r="9" spans="2:11">
      <c r="B9" s="360" t="s">
        <v>286</v>
      </c>
      <c r="C9" s="432">
        <v>946.91</v>
      </c>
      <c r="D9" s="432">
        <v>982</v>
      </c>
      <c r="E9" s="346">
        <f>mvalloc!E8</f>
        <v>939</v>
      </c>
    </row>
    <row r="10" spans="2:11">
      <c r="B10" s="360" t="s">
        <v>38</v>
      </c>
      <c r="C10" s="432">
        <v>1043.82</v>
      </c>
      <c r="D10" s="432">
        <v>1424</v>
      </c>
      <c r="E10" s="346">
        <f>mvalloc!F8</f>
        <v>976.62999999999988</v>
      </c>
    </row>
    <row r="11" spans="2:11">
      <c r="B11" s="360" t="s">
        <v>1124</v>
      </c>
      <c r="C11" s="432">
        <v>1793570</v>
      </c>
      <c r="D11" s="432">
        <v>1772000</v>
      </c>
      <c r="E11" s="346">
        <v>1668570</v>
      </c>
    </row>
    <row r="12" spans="2:11">
      <c r="B12" s="360" t="s">
        <v>1209</v>
      </c>
      <c r="C12" s="432">
        <v>941768</v>
      </c>
      <c r="D12" s="432">
        <v>940000</v>
      </c>
      <c r="E12" s="346">
        <v>940000</v>
      </c>
    </row>
    <row r="13" spans="2:11">
      <c r="B13" s="360" t="s">
        <v>1210</v>
      </c>
      <c r="C13" s="432">
        <v>439772</v>
      </c>
      <c r="D13" s="432">
        <v>574500</v>
      </c>
      <c r="E13" s="346">
        <v>528000</v>
      </c>
    </row>
    <row r="14" spans="2:11">
      <c r="B14" s="381" t="s">
        <v>1211</v>
      </c>
      <c r="C14" s="432">
        <v>675717</v>
      </c>
      <c r="D14" s="432">
        <v>636000</v>
      </c>
      <c r="E14" s="106">
        <v>636000</v>
      </c>
    </row>
    <row r="15" spans="2:11">
      <c r="B15" s="381" t="s">
        <v>1212</v>
      </c>
      <c r="C15" s="432">
        <v>285475</v>
      </c>
      <c r="D15" s="432">
        <v>260000</v>
      </c>
      <c r="E15" s="106">
        <v>260000</v>
      </c>
    </row>
    <row r="16" spans="2:11">
      <c r="B16" s="448" t="s">
        <v>1213</v>
      </c>
      <c r="C16" s="432">
        <v>14537</v>
      </c>
      <c r="D16" s="432">
        <v>28000</v>
      </c>
      <c r="E16" s="106">
        <v>28000</v>
      </c>
    </row>
    <row r="17" spans="2:5">
      <c r="B17" s="448" t="s">
        <v>1156</v>
      </c>
      <c r="C17" s="432">
        <v>45741</v>
      </c>
      <c r="D17" s="432">
        <v>83000</v>
      </c>
      <c r="E17" s="106">
        <v>125700</v>
      </c>
    </row>
    <row r="18" spans="2:5">
      <c r="B18" s="448" t="s">
        <v>331</v>
      </c>
      <c r="C18" s="432">
        <v>8180</v>
      </c>
      <c r="D18" s="432">
        <v>5500</v>
      </c>
      <c r="E18" s="106">
        <v>5500</v>
      </c>
    </row>
    <row r="19" spans="2:5">
      <c r="B19" s="381" t="s">
        <v>1214</v>
      </c>
      <c r="C19" s="432">
        <v>99188</v>
      </c>
      <c r="D19" s="432">
        <v>100845</v>
      </c>
      <c r="E19" s="106">
        <v>100845</v>
      </c>
    </row>
    <row r="20" spans="2:5">
      <c r="B20" s="381" t="s">
        <v>1139</v>
      </c>
      <c r="C20" s="432">
        <v>50560</v>
      </c>
      <c r="D20" s="432">
        <v>45000</v>
      </c>
      <c r="E20" s="106">
        <v>45000</v>
      </c>
    </row>
    <row r="21" spans="2:5">
      <c r="B21" s="381" t="s">
        <v>1215</v>
      </c>
      <c r="C21" s="432">
        <v>94616</v>
      </c>
      <c r="D21" s="432">
        <v>61000</v>
      </c>
      <c r="E21" s="106">
        <v>61000</v>
      </c>
    </row>
    <row r="22" spans="2:5">
      <c r="B22" s="381" t="s">
        <v>1216</v>
      </c>
      <c r="C22" s="432">
        <v>25417</v>
      </c>
      <c r="D22" s="432">
        <v>25841</v>
      </c>
      <c r="E22" s="106">
        <v>25841</v>
      </c>
    </row>
    <row r="23" spans="2:5">
      <c r="B23" s="381" t="s">
        <v>1217</v>
      </c>
      <c r="C23" s="432">
        <v>46254</v>
      </c>
      <c r="D23" s="432">
        <v>42000</v>
      </c>
      <c r="E23" s="106">
        <v>42000</v>
      </c>
    </row>
    <row r="24" spans="2:5">
      <c r="B24" s="381" t="s">
        <v>1218</v>
      </c>
      <c r="C24" s="432">
        <v>68500</v>
      </c>
      <c r="D24" s="432">
        <v>67000</v>
      </c>
      <c r="E24" s="106">
        <v>67000</v>
      </c>
    </row>
    <row r="25" spans="2:5">
      <c r="B25" s="381" t="s">
        <v>1219</v>
      </c>
      <c r="C25" s="432">
        <v>24770</v>
      </c>
      <c r="D25" s="432">
        <v>25000</v>
      </c>
      <c r="E25" s="106">
        <v>25000</v>
      </c>
    </row>
    <row r="26" spans="2:5">
      <c r="B26" s="381" t="s">
        <v>1109</v>
      </c>
      <c r="C26" s="432">
        <v>34635</v>
      </c>
      <c r="D26" s="432">
        <v>38046</v>
      </c>
      <c r="E26" s="106">
        <v>45389</v>
      </c>
    </row>
    <row r="27" spans="2:5">
      <c r="B27" s="381" t="s">
        <v>1089</v>
      </c>
      <c r="C27" s="432">
        <v>27560</v>
      </c>
      <c r="D27" s="432">
        <v>33300</v>
      </c>
      <c r="E27" s="106">
        <v>15300</v>
      </c>
    </row>
    <row r="28" spans="2:5">
      <c r="B28" s="381" t="s">
        <v>1220</v>
      </c>
      <c r="C28" s="432">
        <v>27386</v>
      </c>
      <c r="D28" s="432">
        <v>25000</v>
      </c>
      <c r="E28" s="106">
        <v>24000</v>
      </c>
    </row>
    <row r="29" spans="2:5">
      <c r="B29" s="381" t="s">
        <v>1221</v>
      </c>
      <c r="C29" s="432">
        <v>4996</v>
      </c>
      <c r="D29" s="432">
        <v>5000</v>
      </c>
      <c r="E29" s="106">
        <v>5000</v>
      </c>
    </row>
    <row r="30" spans="2:5">
      <c r="B30" s="381" t="s">
        <v>1222</v>
      </c>
      <c r="C30" s="432">
        <v>24090</v>
      </c>
      <c r="D30" s="432">
        <v>36300</v>
      </c>
      <c r="E30" s="106">
        <v>27300</v>
      </c>
    </row>
    <row r="31" spans="2:5">
      <c r="B31" s="381" t="s">
        <v>1172</v>
      </c>
      <c r="C31" s="432">
        <v>5095</v>
      </c>
      <c r="D31" s="432">
        <v>1000</v>
      </c>
      <c r="E31" s="106">
        <v>1000</v>
      </c>
    </row>
    <row r="32" spans="2:5">
      <c r="B32" s="381" t="s">
        <v>181</v>
      </c>
      <c r="C32" s="432">
        <v>0</v>
      </c>
      <c r="D32" s="432">
        <v>-74781</v>
      </c>
      <c r="E32" s="106">
        <v>-81268</v>
      </c>
    </row>
    <row r="33" spans="2:5">
      <c r="B33" s="381" t="s">
        <v>1223</v>
      </c>
      <c r="C33" s="432">
        <v>87045</v>
      </c>
      <c r="D33" s="432">
        <v>96660</v>
      </c>
      <c r="E33" s="106">
        <v>97460</v>
      </c>
    </row>
    <row r="34" spans="2:5">
      <c r="B34" s="381" t="s">
        <v>1224</v>
      </c>
      <c r="C34" s="432">
        <v>29015</v>
      </c>
      <c r="D34" s="432">
        <v>33233</v>
      </c>
      <c r="E34" s="106">
        <v>33500</v>
      </c>
    </row>
    <row r="35" spans="2:5">
      <c r="B35" s="381" t="s">
        <v>1225</v>
      </c>
      <c r="C35" s="432">
        <v>30500</v>
      </c>
      <c r="D35" s="432">
        <v>10500</v>
      </c>
      <c r="E35" s="106">
        <v>10500</v>
      </c>
    </row>
    <row r="36" spans="2:5">
      <c r="B36" s="381" t="s">
        <v>1226</v>
      </c>
      <c r="C36" s="432">
        <v>50800</v>
      </c>
      <c r="D36" s="432">
        <v>54325</v>
      </c>
      <c r="E36" s="106">
        <v>56250</v>
      </c>
    </row>
    <row r="37" spans="2:5">
      <c r="B37" s="381" t="s">
        <v>260</v>
      </c>
      <c r="C37" s="432"/>
      <c r="D37" s="432"/>
      <c r="E37" s="106"/>
    </row>
    <row r="38" spans="2:5">
      <c r="B38" s="362" t="s">
        <v>260</v>
      </c>
      <c r="C38" s="432"/>
      <c r="D38" s="432"/>
      <c r="E38" s="115"/>
    </row>
    <row r="39" spans="2:5">
      <c r="B39" s="352" t="s">
        <v>182</v>
      </c>
      <c r="C39" s="432"/>
      <c r="D39" s="432"/>
      <c r="E39" s="106"/>
    </row>
    <row r="40" spans="2:5">
      <c r="B40" s="352" t="s">
        <v>668</v>
      </c>
      <c r="C40" s="433" t="str">
        <f>IF(C41*0.1&lt;C39,"Exceed 10% Rule","")</f>
        <v/>
      </c>
      <c r="D40" s="433" t="str">
        <f>IF(D41*0.1&lt;D39,"Exceed 10% Rule","")</f>
        <v/>
      </c>
      <c r="E40" s="375" t="str">
        <f>IF(E41*0.1+E86&lt;E39,"Exceed 10% Rule","")</f>
        <v/>
      </c>
    </row>
    <row r="41" spans="2:5">
      <c r="B41" s="354" t="s">
        <v>288</v>
      </c>
      <c r="C41" s="436">
        <f>SUM(C7:C39)</f>
        <v>6270736.7300000004</v>
      </c>
      <c r="D41" s="436">
        <f>SUM(D7:D39)</f>
        <v>6237781</v>
      </c>
      <c r="E41" s="356">
        <f>SUM(E8:E39)</f>
        <v>4941549.88</v>
      </c>
    </row>
    <row r="42" spans="2:5">
      <c r="B42" s="354" t="s">
        <v>289</v>
      </c>
      <c r="C42" s="436">
        <f>C5+C41</f>
        <v>8662615.7300000004</v>
      </c>
      <c r="D42" s="436">
        <f>D5+D41</f>
        <v>8743354.7300000004</v>
      </c>
      <c r="E42" s="356">
        <f>E5+E41</f>
        <v>6420637.6100000003</v>
      </c>
    </row>
    <row r="43" spans="2:5">
      <c r="B43" s="84"/>
      <c r="C43" s="84"/>
      <c r="D43" s="84"/>
      <c r="E43" s="84"/>
    </row>
    <row r="44" spans="2:5">
      <c r="B44" s="173"/>
      <c r="C44" s="197" t="s">
        <v>298</v>
      </c>
      <c r="D44" s="231">
        <f>IF(inputPrYr!D24&gt;0,8,7)</f>
        <v>8</v>
      </c>
      <c r="E44" s="173"/>
    </row>
    <row r="45" spans="2:5">
      <c r="B45" s="173"/>
      <c r="C45" s="173"/>
      <c r="D45" s="173"/>
      <c r="E45" s="173"/>
    </row>
    <row r="46" spans="2:5">
      <c r="B46" s="253" t="str">
        <f>inputPrYr!D3</f>
        <v>City of Bonner Springs</v>
      </c>
      <c r="C46" s="84"/>
      <c r="D46" s="84"/>
      <c r="E46" s="228"/>
    </row>
    <row r="47" spans="2:5">
      <c r="B47" s="84"/>
      <c r="C47" s="84"/>
      <c r="D47" s="84"/>
      <c r="E47" s="197"/>
    </row>
    <row r="48" spans="2:5">
      <c r="B48" s="287" t="s">
        <v>5</v>
      </c>
      <c r="C48" s="279"/>
      <c r="D48" s="279"/>
      <c r="E48" s="279"/>
    </row>
    <row r="49" spans="2:5">
      <c r="B49" s="84" t="s">
        <v>282</v>
      </c>
      <c r="C49" s="573" t="s">
        <v>301</v>
      </c>
      <c r="D49" s="574" t="s">
        <v>79</v>
      </c>
      <c r="E49" s="575" t="s">
        <v>80</v>
      </c>
    </row>
    <row r="50" spans="2:5">
      <c r="B50" s="114" t="str">
        <f>inputPrYr!B22</f>
        <v>General</v>
      </c>
      <c r="C50" s="435" t="str">
        <f>C4</f>
        <v>Actual for 2012</v>
      </c>
      <c r="D50" s="435" t="str">
        <f>D4</f>
        <v>Estimate for 2013</v>
      </c>
      <c r="E50" s="359" t="str">
        <f>E4</f>
        <v>Year for 2014</v>
      </c>
    </row>
    <row r="51" spans="2:5">
      <c r="B51" s="382" t="s">
        <v>289</v>
      </c>
      <c r="C51" s="434">
        <f>C42</f>
        <v>8662615.7300000004</v>
      </c>
      <c r="D51" s="434">
        <f>D42</f>
        <v>8743354.7300000004</v>
      </c>
      <c r="E51" s="119">
        <f>E42</f>
        <v>6420637.6100000003</v>
      </c>
    </row>
    <row r="52" spans="2:5">
      <c r="B52" s="361" t="s">
        <v>291</v>
      </c>
      <c r="C52" s="218"/>
      <c r="D52" s="218"/>
      <c r="E52" s="124"/>
    </row>
    <row r="53" spans="2:5">
      <c r="B53" s="383" t="str">
        <f>'GenDetail '!A5</f>
        <v>Bonner Beautiful</v>
      </c>
      <c r="C53" s="756">
        <f>'GenDetail '!B10</f>
        <v>4649</v>
      </c>
      <c r="D53" s="756">
        <f>'GenDetail '!C10</f>
        <v>6290</v>
      </c>
      <c r="E53" s="757">
        <f>'GenDetail '!D10</f>
        <v>6290</v>
      </c>
    </row>
    <row r="54" spans="2:5">
      <c r="B54" s="383" t="str">
        <f>'GenDetail '!A11</f>
        <v>Budget &amp; Finance</v>
      </c>
      <c r="C54" s="756">
        <f>'GenDetail '!B16</f>
        <v>289971</v>
      </c>
      <c r="D54" s="756">
        <f>'GenDetail '!C16</f>
        <v>316424</v>
      </c>
      <c r="E54" s="757">
        <f>'GenDetail '!D16</f>
        <v>323052</v>
      </c>
    </row>
    <row r="55" spans="2:5">
      <c r="B55" s="383" t="str">
        <f>'GenDetail '!A17</f>
        <v>Building Codes</v>
      </c>
      <c r="C55" s="756">
        <f>'GenDetail '!B22</f>
        <v>110993</v>
      </c>
      <c r="D55" s="756">
        <f>'GenDetail '!C22</f>
        <v>120145</v>
      </c>
      <c r="E55" s="757">
        <f>'GenDetail '!D22</f>
        <v>125512</v>
      </c>
    </row>
    <row r="56" spans="2:5">
      <c r="B56" s="383" t="str">
        <f>'GenDetail '!A23</f>
        <v>Cemetery</v>
      </c>
      <c r="C56" s="756">
        <f>'GenDetail '!B28</f>
        <v>66653</v>
      </c>
      <c r="D56" s="756">
        <f>'GenDetail '!C28</f>
        <v>70186</v>
      </c>
      <c r="E56" s="757">
        <f>'GenDetail '!D28</f>
        <v>71078</v>
      </c>
    </row>
    <row r="57" spans="2:5">
      <c r="B57" s="383" t="str">
        <f>'GenDetail '!A29</f>
        <v>City Band</v>
      </c>
      <c r="C57" s="756">
        <f>'GenDetail '!B34</f>
        <v>7348</v>
      </c>
      <c r="D57" s="756">
        <f>'GenDetail '!C34</f>
        <v>9180</v>
      </c>
      <c r="E57" s="757">
        <f>'GenDetail '!D34</f>
        <v>8980</v>
      </c>
    </row>
    <row r="58" spans="2:5">
      <c r="B58" s="383" t="str">
        <f>'GenDetail '!A35</f>
        <v>City Clerk</v>
      </c>
      <c r="C58" s="756">
        <f>'GenDetail '!B40</f>
        <v>328259</v>
      </c>
      <c r="D58" s="756">
        <f>'GenDetail '!C40</f>
        <v>380732</v>
      </c>
      <c r="E58" s="757">
        <f>'GenDetail '!D40</f>
        <v>264774</v>
      </c>
    </row>
    <row r="59" spans="2:5">
      <c r="B59" s="383" t="str">
        <f>'GenDetail '!A41</f>
        <v>City Council</v>
      </c>
      <c r="C59" s="756">
        <f>'GenDetail '!B46</f>
        <v>20976</v>
      </c>
      <c r="D59" s="756">
        <f>'GenDetail '!C46</f>
        <v>23315</v>
      </c>
      <c r="E59" s="757">
        <f>'GenDetail '!D46</f>
        <v>21705</v>
      </c>
    </row>
    <row r="60" spans="2:5">
      <c r="B60" s="383" t="str">
        <f>'GenDetail '!A47</f>
        <v>City Manager</v>
      </c>
      <c r="C60" s="756">
        <f>'GenDetail '!B52</f>
        <v>410423</v>
      </c>
      <c r="D60" s="756">
        <f>'GenDetail '!C52</f>
        <v>428585</v>
      </c>
      <c r="E60" s="757">
        <f>'GenDetail '!D52</f>
        <v>427180</v>
      </c>
    </row>
    <row r="61" spans="2:5">
      <c r="B61" s="383" t="str">
        <f>'GenDetail '!A53</f>
        <v>Custodial</v>
      </c>
      <c r="C61" s="801">
        <f>'GenDetail '!B58</f>
        <v>72129</v>
      </c>
      <c r="D61" s="801">
        <f>'GenDetail '!C58</f>
        <v>85465</v>
      </c>
      <c r="E61" s="801">
        <f>'GenDetail '!D58</f>
        <v>86576</v>
      </c>
    </row>
    <row r="62" spans="2:5">
      <c r="B62" s="383" t="str">
        <f>'GenDetail '!A67</f>
        <v>Fire</v>
      </c>
      <c r="C62" s="756">
        <f>'GenDetail '!B72</f>
        <v>171397</v>
      </c>
      <c r="D62" s="756">
        <f>'GenDetail '!C72</f>
        <v>209975</v>
      </c>
      <c r="E62" s="757">
        <f>'GenDetail '!D72</f>
        <v>212820</v>
      </c>
    </row>
    <row r="63" spans="2:5">
      <c r="B63" s="383" t="str">
        <f>'GenDetail '!A73</f>
        <v>Municipal Court</v>
      </c>
      <c r="C63" s="756">
        <f>'GenDetail '!B78</f>
        <v>164461</v>
      </c>
      <c r="D63" s="756">
        <f>'GenDetail '!C78</f>
        <v>194111</v>
      </c>
      <c r="E63" s="757">
        <f>'GenDetail '!D78</f>
        <v>189370</v>
      </c>
    </row>
    <row r="64" spans="2:5">
      <c r="B64" s="383" t="str">
        <f>'GenDetail '!A79</f>
        <v>Parks &amp; Recreation</v>
      </c>
      <c r="C64" s="756">
        <f>'GenDetail '!B84</f>
        <v>475058</v>
      </c>
      <c r="D64" s="756">
        <f>'GenDetail '!C84</f>
        <v>556186</v>
      </c>
      <c r="E64" s="757">
        <f>'GenDetail '!D84</f>
        <v>631043</v>
      </c>
    </row>
    <row r="65" spans="2:11">
      <c r="B65" s="383" t="str">
        <f>'GenDetail '!A85</f>
        <v>Planning</v>
      </c>
      <c r="C65" s="756">
        <f>'GenDetail '!B90</f>
        <v>106690</v>
      </c>
      <c r="D65" s="756">
        <f>'GenDetail '!C90</f>
        <v>116550</v>
      </c>
      <c r="E65" s="757">
        <f>'GenDetail '!D90</f>
        <v>119938</v>
      </c>
    </row>
    <row r="66" spans="2:11">
      <c r="B66" s="383" t="str">
        <f>'GenDetail '!A91</f>
        <v>Police</v>
      </c>
      <c r="C66" s="756">
        <f>'GenDetail '!B96</f>
        <v>2304058</v>
      </c>
      <c r="D66" s="756">
        <f>'GenDetail '!C96</f>
        <v>2479088</v>
      </c>
      <c r="E66" s="757">
        <f>'GenDetail '!D96</f>
        <v>2634901</v>
      </c>
    </row>
    <row r="67" spans="2:11">
      <c r="B67" s="383" t="str">
        <f>'GenDetail '!A97</f>
        <v>Project Manager</v>
      </c>
      <c r="C67" s="756">
        <f>'GenDetail '!B102</f>
        <v>84104</v>
      </c>
      <c r="D67" s="756">
        <f>'GenDetail '!C102</f>
        <v>89281</v>
      </c>
      <c r="E67" s="757">
        <f>'GenDetail '!D102</f>
        <v>98299</v>
      </c>
    </row>
    <row r="68" spans="2:11">
      <c r="B68" s="383" t="str">
        <f>'GenDetail '!A103</f>
        <v>Property Maintenance Codes</v>
      </c>
      <c r="C68" s="756">
        <f>'GenDetail '!B108</f>
        <v>59501</v>
      </c>
      <c r="D68" s="756">
        <f>'GenDetail '!C108</f>
        <v>68459</v>
      </c>
      <c r="E68" s="757">
        <f>'GenDetail '!D108</f>
        <v>70642</v>
      </c>
    </row>
    <row r="69" spans="2:11">
      <c r="B69" s="383" t="str">
        <f>'GenDetail '!A109</f>
        <v>Public Works</v>
      </c>
      <c r="C69" s="756">
        <f>'GenDetail '!B114</f>
        <v>683957</v>
      </c>
      <c r="D69" s="756">
        <f>'GenDetail '!C114</f>
        <v>917780</v>
      </c>
      <c r="E69" s="757">
        <f>'GenDetail '!D114</f>
        <v>983729</v>
      </c>
    </row>
    <row r="70" spans="2:11">
      <c r="B70" s="383" t="str">
        <f>'GenDetail '!A115</f>
        <v>Transfers &amp; Contingencies</v>
      </c>
      <c r="C70" s="756">
        <f>'GenDetail '!B118</f>
        <v>796415</v>
      </c>
      <c r="D70" s="756">
        <f>'GenDetail '!C118</f>
        <v>832790</v>
      </c>
      <c r="E70" s="756">
        <f>'GenDetail '!D118</f>
        <v>820110</v>
      </c>
      <c r="G70" s="917" t="str">
        <f>CONCATENATE("Desired Carryover Into ",E1+1,"")</f>
        <v>Desired Carryover Into 2015</v>
      </c>
      <c r="H70" s="918"/>
      <c r="I70" s="918"/>
      <c r="J70" s="919"/>
    </row>
    <row r="71" spans="2:11">
      <c r="B71" s="383"/>
      <c r="C71" s="756"/>
      <c r="D71" s="756"/>
      <c r="E71" s="757"/>
      <c r="G71" s="681"/>
      <c r="H71" s="682"/>
      <c r="I71" s="682"/>
      <c r="J71" s="683"/>
    </row>
    <row r="72" spans="2:11">
      <c r="B72" s="384" t="s">
        <v>669</v>
      </c>
      <c r="C72" s="758">
        <f>SUM(C53:C70)</f>
        <v>6157042</v>
      </c>
      <c r="D72" s="758">
        <f t="shared" ref="D72:E72" si="0">SUM(D53:D70)</f>
        <v>6904542</v>
      </c>
      <c r="E72" s="758">
        <f t="shared" si="0"/>
        <v>7095999</v>
      </c>
      <c r="G72" s="684" t="s">
        <v>673</v>
      </c>
      <c r="H72" s="685"/>
      <c r="I72" s="685"/>
      <c r="J72" s="686">
        <v>0</v>
      </c>
    </row>
    <row r="73" spans="2:11">
      <c r="B73" s="348"/>
      <c r="C73" s="432"/>
      <c r="D73" s="432"/>
      <c r="E73" s="106"/>
      <c r="G73" s="687" t="s">
        <v>674</v>
      </c>
      <c r="H73" s="688"/>
      <c r="I73" s="689"/>
      <c r="J73" s="690" t="str">
        <f>IF(J72=0,"",ROUND((J72+E86-G84)/inputOth!B14*1000,3)-G89)</f>
        <v/>
      </c>
    </row>
    <row r="74" spans="2:11">
      <c r="B74" s="348"/>
      <c r="C74" s="432"/>
      <c r="D74" s="432"/>
      <c r="E74" s="106"/>
      <c r="G74" s="691" t="str">
        <f>CONCATENATE("",E1," Tot Exp/Non-Appr Must Be:")</f>
        <v>2014 Tot Exp/Non-Appr Must Be:</v>
      </c>
      <c r="H74" s="692"/>
      <c r="I74" s="693"/>
      <c r="J74" s="694">
        <f>IF(J72&gt;0,IF(E83&lt;E42,IF(J72=G84,E83,((J72-G84)*(1-D85))+E42),E83+(J72-G84)),0)</f>
        <v>0</v>
      </c>
    </row>
    <row r="75" spans="2:11">
      <c r="B75" s="348"/>
      <c r="C75" s="432"/>
      <c r="D75" s="432"/>
      <c r="E75" s="106"/>
      <c r="G75" s="695" t="s">
        <v>891</v>
      </c>
      <c r="H75" s="696"/>
      <c r="I75" s="696"/>
      <c r="J75" s="697">
        <f>IF(J72&gt;0,J74-E83,0)</f>
        <v>0</v>
      </c>
    </row>
    <row r="76" spans="2:11">
      <c r="B76" s="352" t="s">
        <v>181</v>
      </c>
      <c r="C76" s="432"/>
      <c r="D76" s="432"/>
      <c r="E76" s="111" t="str">
        <f>nhood!E6</f>
        <v/>
      </c>
      <c r="G76" s="917" t="str">
        <f>CONCATENATE("Projected Carryover Into ",E1+1,"")</f>
        <v>Projected Carryover Into 2015</v>
      </c>
      <c r="H76" s="920"/>
      <c r="I76" s="920"/>
      <c r="J76" s="921"/>
    </row>
    <row r="77" spans="2:11">
      <c r="B77" s="352" t="s">
        <v>182</v>
      </c>
      <c r="C77" s="432">
        <f>'GenDetail '!B120</f>
        <v>0</v>
      </c>
      <c r="D77" s="432">
        <f>'GenDetail '!C120</f>
        <v>359725</v>
      </c>
      <c r="E77" s="432">
        <f>'GenDetail '!D120</f>
        <v>370220</v>
      </c>
      <c r="G77" s="681"/>
      <c r="H77" s="682"/>
      <c r="I77" s="682"/>
      <c r="J77" s="683"/>
    </row>
    <row r="78" spans="2:11">
      <c r="B78" s="352" t="s">
        <v>667</v>
      </c>
      <c r="C78" s="433" t="str">
        <f>IF(C79*0.1&lt;C77,"Exceed 10% Rule","")</f>
        <v/>
      </c>
      <c r="D78" s="433" t="str">
        <f>IF(D79*0.1&lt;D77,"Exceed 10% Rule","")</f>
        <v/>
      </c>
      <c r="E78" s="375" t="str">
        <f>IF(E79*0.1&lt;E77,"Exceed 10% Rule","")</f>
        <v/>
      </c>
      <c r="G78" s="698">
        <f>D80</f>
        <v>1479087.7300000004</v>
      </c>
      <c r="H78" s="699" t="str">
        <f>CONCATENATE("",E1-1," Ending Cash Balance (est.)")</f>
        <v>2013 Ending Cash Balance (est.)</v>
      </c>
      <c r="I78" s="700"/>
      <c r="J78" s="683"/>
    </row>
    <row r="79" spans="2:11">
      <c r="B79" s="354" t="s">
        <v>295</v>
      </c>
      <c r="C79" s="436">
        <f>SUM(C72:C77)</f>
        <v>6157042</v>
      </c>
      <c r="D79" s="436">
        <f>SUM(D72:D77)</f>
        <v>7264267</v>
      </c>
      <c r="E79" s="356">
        <f>SUM(E72:E77)</f>
        <v>7466219</v>
      </c>
      <c r="G79" s="698">
        <f>E41</f>
        <v>4941549.88</v>
      </c>
      <c r="H79" s="685" t="str">
        <f>CONCATENATE("",E1," Non-AV Receipts (est.)")</f>
        <v>2014 Non-AV Receipts (est.)</v>
      </c>
      <c r="I79" s="700"/>
      <c r="J79" s="683"/>
    </row>
    <row r="80" spans="2:11">
      <c r="B80" s="167" t="s">
        <v>58</v>
      </c>
      <c r="C80" s="434">
        <f>C42-C79</f>
        <v>2505573.7300000004</v>
      </c>
      <c r="D80" s="434">
        <f>D42-D79</f>
        <v>1479087.7300000004</v>
      </c>
      <c r="E80" s="380" t="s">
        <v>272</v>
      </c>
      <c r="G80" s="701">
        <f>IF(E85&gt;0,E84,E86)</f>
        <v>1418512.3899999997</v>
      </c>
      <c r="H80" s="685" t="str">
        <f>CONCATENATE("",E1," Ad Valorem Tax (est.)")</f>
        <v>2014 Ad Valorem Tax (est.)</v>
      </c>
      <c r="I80" s="700"/>
      <c r="J80" s="683"/>
      <c r="K80" s="702" t="str">
        <f>IF(G80=E86,"","Note: Does not include Delinquent Taxes")</f>
        <v>Note: Does not include Delinquent Taxes</v>
      </c>
    </row>
    <row r="81" spans="2:10">
      <c r="B81" s="197" t="str">
        <f>CONCATENATE("",E1-2,"/",E1-1," Budget Authority Amount:")</f>
        <v>2012/2013 Budget Authority Amount:</v>
      </c>
      <c r="C81" s="303">
        <f>inputOth!B73</f>
        <v>6803931</v>
      </c>
      <c r="D81" s="303">
        <f>inputPrYr!D22</f>
        <v>7264267</v>
      </c>
      <c r="E81" s="380" t="s">
        <v>272</v>
      </c>
      <c r="F81" s="365"/>
      <c r="G81" s="698">
        <f>SUM(G78:G80)</f>
        <v>7839150</v>
      </c>
      <c r="H81" s="685" t="str">
        <f>CONCATENATE("Total ",E1," Resources Available")</f>
        <v>Total 2014 Resources Available</v>
      </c>
      <c r="I81" s="700"/>
      <c r="J81" s="683"/>
    </row>
    <row r="82" spans="2:10">
      <c r="B82" s="197"/>
      <c r="C82" s="913" t="s">
        <v>670</v>
      </c>
      <c r="D82" s="914"/>
      <c r="E82" s="349">
        <v>372931</v>
      </c>
      <c r="F82" s="703" t="str">
        <f>IF((E79/0.95)-E79&lt;E82,"Exceeds 5% ","")</f>
        <v/>
      </c>
      <c r="G82" s="704"/>
      <c r="H82" s="685"/>
      <c r="I82" s="685"/>
      <c r="J82" s="683"/>
    </row>
    <row r="83" spans="2:10">
      <c r="B83" s="541" t="str">
        <f>CONCATENATE(C114,"     ",D114)</f>
        <v xml:space="preserve">     </v>
      </c>
      <c r="C83" s="915" t="s">
        <v>671</v>
      </c>
      <c r="D83" s="916"/>
      <c r="E83" s="124">
        <f>E79+E82</f>
        <v>7839150</v>
      </c>
      <c r="G83" s="701">
        <f>ROUND(C79*0.05+C79,0)</f>
        <v>6464894</v>
      </c>
      <c r="H83" s="685" t="str">
        <f>CONCATENATE("Less ",E1-2," Expenditures + 5%")</f>
        <v>Less 2012 Expenditures + 5%</v>
      </c>
      <c r="I83" s="700"/>
      <c r="J83" s="683"/>
    </row>
    <row r="84" spans="2:10">
      <c r="B84" s="541" t="str">
        <f>CONCATENATE(C115,"     ",D115)</f>
        <v xml:space="preserve">     </v>
      </c>
      <c r="C84" s="358"/>
      <c r="D84" s="228" t="s">
        <v>296</v>
      </c>
      <c r="E84" s="111">
        <f>IF(E83-E42&gt;0,E83-E42,0)</f>
        <v>1418512.3899999997</v>
      </c>
      <c r="G84" s="705">
        <f>G81-G83</f>
        <v>1374256</v>
      </c>
      <c r="H84" s="706" t="str">
        <f>CONCATENATE("Projected ",E1+1," Carryover (est.)")</f>
        <v>Projected 2015 Carryover (est.)</v>
      </c>
      <c r="I84" s="707"/>
      <c r="J84" s="708"/>
    </row>
    <row r="85" spans="2:10">
      <c r="B85" s="228"/>
      <c r="C85" s="493" t="s">
        <v>672</v>
      </c>
      <c r="D85" s="759">
        <f>inputOth!E58</f>
        <v>5.2630999999999997E-2</v>
      </c>
      <c r="E85" s="124">
        <f>ROUND(IF(D85&gt;0,(E84*D85),0),0)</f>
        <v>74658</v>
      </c>
    </row>
    <row r="86" spans="2:10" ht="16.5" thickBot="1">
      <c r="B86" s="84"/>
      <c r="C86" s="911" t="str">
        <f>CONCATENATE("Amount of  ",$E$1-1," Ad Valorem Tax")</f>
        <v>Amount of  2013 Ad Valorem Tax</v>
      </c>
      <c r="D86" s="912"/>
      <c r="E86" s="621">
        <f>E84+E85</f>
        <v>1493170.3899999997</v>
      </c>
      <c r="G86" s="922" t="s">
        <v>892</v>
      </c>
      <c r="H86" s="923"/>
      <c r="I86" s="923"/>
      <c r="J86" s="924"/>
    </row>
    <row r="87" spans="2:10" ht="16.5" thickTop="1">
      <c r="B87" s="84"/>
      <c r="C87" s="84"/>
      <c r="D87" s="84"/>
      <c r="E87" s="84"/>
      <c r="G87" s="709"/>
      <c r="H87" s="710"/>
      <c r="I87" s="711"/>
      <c r="J87" s="712"/>
    </row>
    <row r="88" spans="2:10">
      <c r="B88" s="173"/>
      <c r="C88" s="197" t="s">
        <v>298</v>
      </c>
      <c r="D88" s="231" t="str">
        <f>CONCATENATE("",D44,"a")</f>
        <v>8a</v>
      </c>
      <c r="E88" s="173"/>
      <c r="G88" s="713">
        <f>summ!H13</f>
        <v>22.768599999999999</v>
      </c>
      <c r="H88" s="710" t="str">
        <f>CONCATENATE("",E1," Fund Mill Rate")</f>
        <v>2014 Fund Mill Rate</v>
      </c>
      <c r="I88" s="711"/>
      <c r="J88" s="712"/>
    </row>
    <row r="89" spans="2:10">
      <c r="G89" s="714">
        <f>summ!E13</f>
        <v>18.533000000000001</v>
      </c>
      <c r="H89" s="710" t="str">
        <f>CONCATENATE("",E1-1," Fund Mill Rate")</f>
        <v>2013 Fund Mill Rate</v>
      </c>
      <c r="I89" s="711"/>
      <c r="J89" s="712"/>
    </row>
    <row r="90" spans="2:10">
      <c r="B90" s="144"/>
      <c r="G90" s="715">
        <f>summ!H45</f>
        <v>33.604999999999997</v>
      </c>
      <c r="H90" s="710" t="str">
        <f>CONCATENATE("Total ",E1," Mill Rate")</f>
        <v>Total 2014 Mill Rate</v>
      </c>
      <c r="I90" s="711"/>
      <c r="J90" s="712"/>
    </row>
    <row r="91" spans="2:10">
      <c r="G91" s="714">
        <f>summ!E45</f>
        <v>30.605</v>
      </c>
      <c r="H91" s="716" t="str">
        <f>CONCATENATE("Total ",E1-1," Mill Rate")</f>
        <v>Total 2013 Mill Rate</v>
      </c>
      <c r="I91" s="717"/>
      <c r="J91" s="718"/>
    </row>
    <row r="92" spans="2:10">
      <c r="G92" s="719"/>
      <c r="H92" s="720"/>
      <c r="I92" s="720"/>
      <c r="J92" s="721"/>
    </row>
    <row r="93" spans="2:10">
      <c r="B93" s="68"/>
      <c r="C93" s="68"/>
      <c r="G93" s="781" t="s">
        <v>976</v>
      </c>
      <c r="H93" s="780"/>
      <c r="I93" s="779" t="str">
        <f>cert!G50</f>
        <v>Yes</v>
      </c>
      <c r="J93" s="722" t="str">
        <f>IF(J92=0,"",ROUND((J92+E86-G86)/inputOth!B14*1000,3)-general!G88)</f>
        <v/>
      </c>
    </row>
    <row r="94" spans="2:10">
      <c r="G94" s="723"/>
      <c r="H94" s="520"/>
      <c r="I94" s="720"/>
      <c r="J94" s="724"/>
    </row>
    <row r="114" spans="3:4">
      <c r="C114" s="80" t="str">
        <f>IF(C79&gt;C81,"See Tab A","")</f>
        <v/>
      </c>
      <c r="D114" s="80" t="str">
        <f>IF(D79&gt;D81,"See Tab C","")</f>
        <v/>
      </c>
    </row>
    <row r="115" spans="3:4">
      <c r="C115" s="80" t="str">
        <f>IF(C80&lt;0,"See Tab B","")</f>
        <v/>
      </c>
      <c r="D115" s="80" t="str">
        <f>IF(D80&lt;0,"See Tab D","")</f>
        <v/>
      </c>
    </row>
  </sheetData>
  <mergeCells count="6">
    <mergeCell ref="C86:D86"/>
    <mergeCell ref="C82:D82"/>
    <mergeCell ref="C83:D83"/>
    <mergeCell ref="G70:J70"/>
    <mergeCell ref="G76:J76"/>
    <mergeCell ref="G86:J86"/>
  </mergeCells>
  <phoneticPr fontId="0" type="noConversion"/>
  <conditionalFormatting sqref="E82">
    <cfRule type="cellIs" dxfId="299" priority="3" stopIfTrue="1" operator="greaterThan">
      <formula>$E$79/0.95-$E$79</formula>
    </cfRule>
  </conditionalFormatting>
  <conditionalFormatting sqref="C79">
    <cfRule type="cellIs" dxfId="298" priority="4" stopIfTrue="1" operator="greaterThan">
      <formula>$C$81</formula>
    </cfRule>
  </conditionalFormatting>
  <conditionalFormatting sqref="C39">
    <cfRule type="cellIs" dxfId="297" priority="5" stopIfTrue="1" operator="greaterThan">
      <formula>$C$41*0.1</formula>
    </cfRule>
  </conditionalFormatting>
  <conditionalFormatting sqref="D39">
    <cfRule type="cellIs" dxfId="296" priority="6" stopIfTrue="1" operator="greaterThan">
      <formula>$D$41*0.1</formula>
    </cfRule>
  </conditionalFormatting>
  <conditionalFormatting sqref="C77:E77">
    <cfRule type="cellIs" dxfId="295" priority="7" stopIfTrue="1" operator="greaterThan">
      <formula>$C$79*0.1</formula>
    </cfRule>
  </conditionalFormatting>
  <conditionalFormatting sqref="D79">
    <cfRule type="cellIs" dxfId="294" priority="9" stopIfTrue="1" operator="greaterThan">
      <formula>$D$81</formula>
    </cfRule>
  </conditionalFormatting>
  <conditionalFormatting sqref="C80">
    <cfRule type="cellIs" dxfId="293" priority="10" stopIfTrue="1" operator="lessThan">
      <formula>0</formula>
    </cfRule>
  </conditionalFormatting>
  <conditionalFormatting sqref="D80">
    <cfRule type="cellIs" dxfId="292" priority="1" stopIfTrue="1" operator="lessThan">
      <formula>0</formula>
    </cfRule>
  </conditionalFormatting>
  <conditionalFormatting sqref="E39">
    <cfRule type="cellIs" dxfId="291" priority="29" stopIfTrue="1" operator="greaterThan">
      <formula>$E$41*0.1+$E$86</formula>
    </cfRule>
  </conditionalFormatting>
  <pageMargins left="0.25" right="0.25" top="0.5" bottom="0" header="0.25" footer="0.25"/>
  <pageSetup scale="95" fitToHeight="2" orientation="portrait" blackAndWhite="1" horizontalDpi="120" verticalDpi="144" r:id="rId1"/>
  <headerFooter alignWithMargins="0">
    <oddHeader>&amp;RState of Kansas
City</oddHeader>
  </headerFooter>
  <rowBreaks count="1" manualBreakCount="1">
    <brk id="45" max="16383" man="1"/>
  </rowBreaks>
</worksheet>
</file>

<file path=xl/worksheets/sheet14.xml><?xml version="1.0" encoding="utf-8"?>
<worksheet xmlns="http://schemas.openxmlformats.org/spreadsheetml/2006/main" xmlns:r="http://schemas.openxmlformats.org/officeDocument/2006/relationships">
  <dimension ref="A1:F125"/>
  <sheetViews>
    <sheetView zoomScaleNormal="100" workbookViewId="0">
      <selection activeCell="D123" sqref="D123"/>
    </sheetView>
  </sheetViews>
  <sheetFormatPr defaultColWidth="8.88671875" defaultRowHeight="15.75"/>
  <cols>
    <col min="1" max="1" width="28.33203125" style="68" customWidth="1"/>
    <col min="2" max="3" width="15.77734375" style="68" customWidth="1"/>
    <col min="4" max="4" width="16.109375" style="68" customWidth="1"/>
    <col min="5" max="16384" width="8.88671875" style="68"/>
  </cols>
  <sheetData>
    <row r="1" spans="1:4">
      <c r="A1" s="253" t="str">
        <f>inputPrYr!D3</f>
        <v>City of Bonner Springs</v>
      </c>
      <c r="B1" s="84"/>
      <c r="C1" s="231"/>
      <c r="D1" s="84">
        <f>inputPrYr!C10</f>
        <v>2014</v>
      </c>
    </row>
    <row r="2" spans="1:4">
      <c r="A2" s="231" t="s">
        <v>282</v>
      </c>
      <c r="B2" s="614" t="s">
        <v>806</v>
      </c>
      <c r="C2" s="615" t="s">
        <v>807</v>
      </c>
      <c r="D2" s="204" t="s">
        <v>808</v>
      </c>
    </row>
    <row r="3" spans="1:4">
      <c r="A3" s="99" t="s">
        <v>218</v>
      </c>
      <c r="B3" s="440" t="str">
        <f>CONCATENATE("Actual for ",D1-2,"")</f>
        <v>Actual for 2012</v>
      </c>
      <c r="C3" s="440" t="str">
        <f>CONCATENATE("Estimate for ",D1-1,"")</f>
        <v>Estimate for 2013</v>
      </c>
      <c r="D3" s="268" t="str">
        <f>CONCATENATE("Year for ",D1,"")</f>
        <v>Year for 2014</v>
      </c>
    </row>
    <row r="4" spans="1:4">
      <c r="A4" s="385" t="s">
        <v>291</v>
      </c>
      <c r="B4" s="124"/>
      <c r="C4" s="124"/>
      <c r="D4" s="124"/>
    </row>
    <row r="5" spans="1:4">
      <c r="A5" s="791" t="s">
        <v>1023</v>
      </c>
      <c r="B5" s="124"/>
      <c r="C5" s="124"/>
      <c r="D5" s="124"/>
    </row>
    <row r="6" spans="1:4">
      <c r="A6" s="386" t="s">
        <v>299</v>
      </c>
      <c r="B6" s="349">
        <v>0</v>
      </c>
      <c r="C6" s="349">
        <v>0</v>
      </c>
      <c r="D6" s="349">
        <v>0</v>
      </c>
    </row>
    <row r="7" spans="1:4">
      <c r="A7" s="386" t="s">
        <v>292</v>
      </c>
      <c r="B7" s="349">
        <v>1449</v>
      </c>
      <c r="C7" s="349">
        <v>3230</v>
      </c>
      <c r="D7" s="349">
        <v>2917</v>
      </c>
    </row>
    <row r="8" spans="1:4">
      <c r="A8" s="386" t="s">
        <v>293</v>
      </c>
      <c r="B8" s="349">
        <v>3200</v>
      </c>
      <c r="C8" s="349">
        <v>3060</v>
      </c>
      <c r="D8" s="349">
        <v>3373</v>
      </c>
    </row>
    <row r="9" spans="1:4">
      <c r="A9" s="386" t="s">
        <v>294</v>
      </c>
      <c r="B9" s="349">
        <v>0</v>
      </c>
      <c r="C9" s="349">
        <v>0</v>
      </c>
      <c r="D9" s="349">
        <v>0</v>
      </c>
    </row>
    <row r="10" spans="1:4">
      <c r="A10" s="385" t="s">
        <v>259</v>
      </c>
      <c r="B10" s="355">
        <f>SUM(B6:B9)</f>
        <v>4649</v>
      </c>
      <c r="C10" s="355">
        <f>SUM(C6:C9)</f>
        <v>6290</v>
      </c>
      <c r="D10" s="355">
        <f>SUM(D6:D9)</f>
        <v>6290</v>
      </c>
    </row>
    <row r="11" spans="1:4">
      <c r="A11" s="792" t="s">
        <v>1024</v>
      </c>
      <c r="B11" s="253"/>
      <c r="C11" s="253"/>
      <c r="D11" s="253"/>
    </row>
    <row r="12" spans="1:4">
      <c r="A12" s="386" t="s">
        <v>299</v>
      </c>
      <c r="B12" s="349">
        <v>245417</v>
      </c>
      <c r="C12" s="349">
        <v>270024</v>
      </c>
      <c r="D12" s="349">
        <v>275487</v>
      </c>
    </row>
    <row r="13" spans="1:4">
      <c r="A13" s="386" t="s">
        <v>292</v>
      </c>
      <c r="B13" s="349">
        <v>39285</v>
      </c>
      <c r="C13" s="349">
        <v>41700</v>
      </c>
      <c r="D13" s="349">
        <v>42515</v>
      </c>
    </row>
    <row r="14" spans="1:4">
      <c r="A14" s="386" t="s">
        <v>293</v>
      </c>
      <c r="B14" s="349">
        <v>4369</v>
      </c>
      <c r="C14" s="349">
        <v>4700</v>
      </c>
      <c r="D14" s="349">
        <v>5050</v>
      </c>
    </row>
    <row r="15" spans="1:4">
      <c r="A15" s="386" t="s">
        <v>294</v>
      </c>
      <c r="B15" s="349">
        <v>900</v>
      </c>
      <c r="C15" s="349">
        <v>0</v>
      </c>
      <c r="D15" s="349">
        <v>0</v>
      </c>
    </row>
    <row r="16" spans="1:4">
      <c r="A16" s="385" t="s">
        <v>259</v>
      </c>
      <c r="B16" s="355">
        <f>SUM(B12:B15)</f>
        <v>289971</v>
      </c>
      <c r="C16" s="355">
        <f>SUM(C12:C15)</f>
        <v>316424</v>
      </c>
      <c r="D16" s="355">
        <f>SUM(D12:D15)</f>
        <v>323052</v>
      </c>
    </row>
    <row r="17" spans="1:4">
      <c r="A17" s="792" t="s">
        <v>1025</v>
      </c>
      <c r="B17" s="253"/>
      <c r="C17" s="253"/>
      <c r="D17" s="253"/>
    </row>
    <row r="18" spans="1:4">
      <c r="A18" s="386" t="s">
        <v>299</v>
      </c>
      <c r="B18" s="349">
        <v>104766</v>
      </c>
      <c r="C18" s="349">
        <v>112850</v>
      </c>
      <c r="D18" s="349">
        <v>118901</v>
      </c>
    </row>
    <row r="19" spans="1:4">
      <c r="A19" s="386" t="s">
        <v>292</v>
      </c>
      <c r="B19" s="349">
        <v>3860</v>
      </c>
      <c r="C19" s="349">
        <v>4920</v>
      </c>
      <c r="D19" s="349">
        <v>4436</v>
      </c>
    </row>
    <row r="20" spans="1:4">
      <c r="A20" s="386" t="s">
        <v>293</v>
      </c>
      <c r="B20" s="349">
        <v>2367</v>
      </c>
      <c r="C20" s="349">
        <v>2375</v>
      </c>
      <c r="D20" s="349">
        <v>2175</v>
      </c>
    </row>
    <row r="21" spans="1:4">
      <c r="A21" s="386" t="s">
        <v>294</v>
      </c>
      <c r="B21" s="349">
        <v>0</v>
      </c>
      <c r="C21" s="349">
        <v>0</v>
      </c>
      <c r="D21" s="349">
        <v>0</v>
      </c>
    </row>
    <row r="22" spans="1:4">
      <c r="A22" s="385" t="s">
        <v>259</v>
      </c>
      <c r="B22" s="355">
        <f>SUM(B18:B21)</f>
        <v>110993</v>
      </c>
      <c r="C22" s="355">
        <f>SUM(C18:C21)</f>
        <v>120145</v>
      </c>
      <c r="D22" s="355">
        <f>SUM(D18:D21)</f>
        <v>125512</v>
      </c>
    </row>
    <row r="23" spans="1:4">
      <c r="A23" s="792" t="s">
        <v>1026</v>
      </c>
      <c r="B23" s="253"/>
      <c r="C23" s="253"/>
      <c r="D23" s="253"/>
    </row>
    <row r="24" spans="1:4">
      <c r="A24" s="386" t="s">
        <v>299</v>
      </c>
      <c r="B24" s="349">
        <v>57340</v>
      </c>
      <c r="C24" s="349">
        <v>61144</v>
      </c>
      <c r="D24" s="349">
        <v>61344</v>
      </c>
    </row>
    <row r="25" spans="1:4">
      <c r="A25" s="386" t="s">
        <v>292</v>
      </c>
      <c r="B25" s="349">
        <v>5002</v>
      </c>
      <c r="C25" s="349">
        <v>4027</v>
      </c>
      <c r="D25" s="349">
        <v>3709</v>
      </c>
    </row>
    <row r="26" spans="1:4">
      <c r="A26" s="386" t="s">
        <v>293</v>
      </c>
      <c r="B26" s="349">
        <v>4311</v>
      </c>
      <c r="C26" s="349">
        <v>5015</v>
      </c>
      <c r="D26" s="349">
        <v>5725</v>
      </c>
    </row>
    <row r="27" spans="1:4">
      <c r="A27" s="386" t="s">
        <v>294</v>
      </c>
      <c r="B27" s="349">
        <v>0</v>
      </c>
      <c r="C27" s="349">
        <v>0</v>
      </c>
      <c r="D27" s="349">
        <v>300</v>
      </c>
    </row>
    <row r="28" spans="1:4">
      <c r="A28" s="385" t="s">
        <v>259</v>
      </c>
      <c r="B28" s="355">
        <f>SUM(B24:B27)</f>
        <v>66653</v>
      </c>
      <c r="C28" s="355">
        <f>SUM(C24:C27)</f>
        <v>70186</v>
      </c>
      <c r="D28" s="355">
        <f>SUM(D24:D27)</f>
        <v>71078</v>
      </c>
    </row>
    <row r="29" spans="1:4">
      <c r="A29" s="792" t="s">
        <v>1027</v>
      </c>
      <c r="B29" s="253"/>
      <c r="C29" s="253"/>
      <c r="D29" s="253"/>
    </row>
    <row r="30" spans="1:4">
      <c r="A30" s="386" t="s">
        <v>299</v>
      </c>
      <c r="B30" s="349">
        <v>445</v>
      </c>
      <c r="C30" s="349">
        <v>550</v>
      </c>
      <c r="D30" s="349">
        <v>550</v>
      </c>
    </row>
    <row r="31" spans="1:4">
      <c r="A31" s="386" t="s">
        <v>292</v>
      </c>
      <c r="B31" s="349">
        <v>6379</v>
      </c>
      <c r="C31" s="349">
        <v>7420</v>
      </c>
      <c r="D31" s="349">
        <v>7420</v>
      </c>
    </row>
    <row r="32" spans="1:4">
      <c r="A32" s="386" t="s">
        <v>293</v>
      </c>
      <c r="B32" s="349">
        <v>524</v>
      </c>
      <c r="C32" s="349">
        <v>1210</v>
      </c>
      <c r="D32" s="349">
        <v>1010</v>
      </c>
    </row>
    <row r="33" spans="1:4">
      <c r="A33" s="386" t="s">
        <v>294</v>
      </c>
      <c r="B33" s="349">
        <v>0</v>
      </c>
      <c r="C33" s="349">
        <v>0</v>
      </c>
      <c r="D33" s="349">
        <v>0</v>
      </c>
    </row>
    <row r="34" spans="1:4">
      <c r="A34" s="385" t="s">
        <v>259</v>
      </c>
      <c r="B34" s="355">
        <f>SUM(B30:B33)</f>
        <v>7348</v>
      </c>
      <c r="C34" s="355">
        <f>SUM(C30:C33)</f>
        <v>9180</v>
      </c>
      <c r="D34" s="355">
        <f>SUM(D30:D33)</f>
        <v>8980</v>
      </c>
    </row>
    <row r="35" spans="1:4">
      <c r="A35" s="792" t="s">
        <v>71</v>
      </c>
      <c r="B35" s="253"/>
      <c r="C35" s="253"/>
      <c r="D35" s="253"/>
    </row>
    <row r="36" spans="1:4">
      <c r="A36" s="386" t="s">
        <v>299</v>
      </c>
      <c r="B36" s="349">
        <v>159522</v>
      </c>
      <c r="C36" s="349">
        <v>243524</v>
      </c>
      <c r="D36" s="349">
        <v>160415</v>
      </c>
    </row>
    <row r="37" spans="1:4">
      <c r="A37" s="386" t="s">
        <v>292</v>
      </c>
      <c r="B37" s="349">
        <v>95578</v>
      </c>
      <c r="C37" s="349">
        <v>125308</v>
      </c>
      <c r="D37" s="349">
        <v>94759</v>
      </c>
    </row>
    <row r="38" spans="1:4">
      <c r="A38" s="386" t="s">
        <v>293</v>
      </c>
      <c r="B38" s="349">
        <v>12044</v>
      </c>
      <c r="C38" s="349">
        <v>7400</v>
      </c>
      <c r="D38" s="349">
        <v>7400</v>
      </c>
    </row>
    <row r="39" spans="1:4">
      <c r="A39" s="386" t="s">
        <v>294</v>
      </c>
      <c r="B39" s="349">
        <v>61115</v>
      </c>
      <c r="C39" s="349">
        <v>4500</v>
      </c>
      <c r="D39" s="349">
        <v>2200</v>
      </c>
    </row>
    <row r="40" spans="1:4">
      <c r="A40" s="385" t="s">
        <v>259</v>
      </c>
      <c r="B40" s="355">
        <f>SUM(B36:B39)</f>
        <v>328259</v>
      </c>
      <c r="C40" s="355">
        <f>SUM(C36:C39)</f>
        <v>380732</v>
      </c>
      <c r="D40" s="355">
        <f>SUM(D36:D39)</f>
        <v>264774</v>
      </c>
    </row>
    <row r="41" spans="1:4">
      <c r="A41" s="792" t="s">
        <v>1028</v>
      </c>
      <c r="B41" s="253"/>
      <c r="C41" s="253"/>
      <c r="D41" s="253"/>
    </row>
    <row r="42" spans="1:4">
      <c r="A42" s="386" t="s">
        <v>299</v>
      </c>
      <c r="B42" s="349">
        <v>10070</v>
      </c>
      <c r="C42" s="349">
        <v>10070</v>
      </c>
      <c r="D42" s="349">
        <v>10130</v>
      </c>
    </row>
    <row r="43" spans="1:4">
      <c r="A43" s="386" t="s">
        <v>292</v>
      </c>
      <c r="B43" s="349">
        <v>7719</v>
      </c>
      <c r="C43" s="349">
        <v>8215</v>
      </c>
      <c r="D43" s="349">
        <v>7665</v>
      </c>
    </row>
    <row r="44" spans="1:4">
      <c r="A44" s="386" t="s">
        <v>293</v>
      </c>
      <c r="B44" s="349">
        <v>3187</v>
      </c>
      <c r="C44" s="349">
        <v>5030</v>
      </c>
      <c r="D44" s="349">
        <v>3910</v>
      </c>
    </row>
    <row r="45" spans="1:4">
      <c r="A45" s="386" t="s">
        <v>294</v>
      </c>
      <c r="B45" s="349">
        <v>0</v>
      </c>
      <c r="C45" s="349">
        <v>0</v>
      </c>
      <c r="D45" s="349">
        <v>0</v>
      </c>
    </row>
    <row r="46" spans="1:4">
      <c r="A46" s="385" t="s">
        <v>259</v>
      </c>
      <c r="B46" s="355">
        <f>SUM(B42:B45)</f>
        <v>20976</v>
      </c>
      <c r="C46" s="355">
        <f>SUM(C42:C45)</f>
        <v>23315</v>
      </c>
      <c r="D46" s="355">
        <f>SUM(D42:D45)</f>
        <v>21705</v>
      </c>
    </row>
    <row r="47" spans="1:4">
      <c r="A47" s="792" t="s">
        <v>1029</v>
      </c>
      <c r="B47" s="253"/>
      <c r="C47" s="253"/>
      <c r="D47" s="253"/>
    </row>
    <row r="48" spans="1:4">
      <c r="A48" s="386" t="s">
        <v>299</v>
      </c>
      <c r="B48" s="349">
        <v>359031</v>
      </c>
      <c r="C48" s="349">
        <v>380967</v>
      </c>
      <c r="D48" s="349">
        <v>375435</v>
      </c>
    </row>
    <row r="49" spans="1:4">
      <c r="A49" s="386" t="s">
        <v>292</v>
      </c>
      <c r="B49" s="349">
        <v>45652</v>
      </c>
      <c r="C49" s="349">
        <v>42575</v>
      </c>
      <c r="D49" s="349">
        <v>43150</v>
      </c>
    </row>
    <row r="50" spans="1:4">
      <c r="A50" s="386" t="s">
        <v>293</v>
      </c>
      <c r="B50" s="349">
        <v>5740</v>
      </c>
      <c r="C50" s="349">
        <v>5043</v>
      </c>
      <c r="D50" s="349">
        <v>8595</v>
      </c>
    </row>
    <row r="51" spans="1:4">
      <c r="A51" s="386" t="s">
        <v>294</v>
      </c>
      <c r="B51" s="349">
        <v>0</v>
      </c>
      <c r="C51" s="349">
        <v>0</v>
      </c>
      <c r="D51" s="349">
        <v>0</v>
      </c>
    </row>
    <row r="52" spans="1:4">
      <c r="A52" s="385" t="s">
        <v>259</v>
      </c>
      <c r="B52" s="355">
        <f>SUM(B48:B51)</f>
        <v>410423</v>
      </c>
      <c r="C52" s="355">
        <f>SUM(C48:C51)</f>
        <v>428585</v>
      </c>
      <c r="D52" s="355">
        <f>SUM(D48:D51)</f>
        <v>427180</v>
      </c>
    </row>
    <row r="53" spans="1:4">
      <c r="A53" s="792" t="s">
        <v>1030</v>
      </c>
      <c r="B53" s="253"/>
      <c r="C53" s="253"/>
      <c r="D53" s="253"/>
    </row>
    <row r="54" spans="1:4">
      <c r="A54" s="386" t="s">
        <v>299</v>
      </c>
      <c r="B54" s="349">
        <v>65806</v>
      </c>
      <c r="C54" s="349">
        <v>74340</v>
      </c>
      <c r="D54" s="349">
        <v>75751</v>
      </c>
    </row>
    <row r="55" spans="1:4">
      <c r="A55" s="386" t="s">
        <v>292</v>
      </c>
      <c r="B55" s="349">
        <v>602</v>
      </c>
      <c r="C55" s="349">
        <v>500</v>
      </c>
      <c r="D55" s="349">
        <v>500</v>
      </c>
    </row>
    <row r="56" spans="1:4">
      <c r="A56" s="386" t="s">
        <v>293</v>
      </c>
      <c r="B56" s="349">
        <v>5721</v>
      </c>
      <c r="C56" s="349">
        <v>10125</v>
      </c>
      <c r="D56" s="349">
        <v>10125</v>
      </c>
    </row>
    <row r="57" spans="1:4">
      <c r="A57" s="386" t="s">
        <v>294</v>
      </c>
      <c r="B57" s="349">
        <v>0</v>
      </c>
      <c r="C57" s="349">
        <v>500</v>
      </c>
      <c r="D57" s="349">
        <v>200</v>
      </c>
    </row>
    <row r="58" spans="1:4">
      <c r="A58" s="385" t="s">
        <v>259</v>
      </c>
      <c r="B58" s="355">
        <f>SUM(B54:B57)</f>
        <v>72129</v>
      </c>
      <c r="C58" s="355">
        <f>SUM(C54:C57)</f>
        <v>85465</v>
      </c>
      <c r="D58" s="355">
        <f>SUM(D54:D57)</f>
        <v>86576</v>
      </c>
    </row>
    <row r="59" spans="1:4">
      <c r="A59" s="84"/>
      <c r="B59" s="253"/>
      <c r="C59" s="253"/>
      <c r="D59" s="253"/>
    </row>
    <row r="60" spans="1:4" ht="16.5" thickBot="1">
      <c r="A60" s="385" t="s">
        <v>300</v>
      </c>
      <c r="B60" s="387">
        <f>B10+B16+B22+B28+B34+B40+B46+B52+B58</f>
        <v>1311401</v>
      </c>
      <c r="C60" s="387">
        <f t="shared" ref="C60:D60" si="0">C10+C16+C22+C28+C34+C40+C46+C52+C58</f>
        <v>1440322</v>
      </c>
      <c r="D60" s="387">
        <f t="shared" si="0"/>
        <v>1335147</v>
      </c>
    </row>
    <row r="61" spans="1:4" ht="16.5" thickTop="1">
      <c r="A61" s="197" t="s">
        <v>298</v>
      </c>
      <c r="B61" s="389" t="str">
        <f>CONCATENATE("",general!D44,"b")</f>
        <v>8b</v>
      </c>
      <c r="C61" s="253"/>
      <c r="D61" s="253"/>
    </row>
    <row r="62" spans="1:4">
      <c r="A62" s="388"/>
      <c r="B62" s="389"/>
      <c r="C62" s="389"/>
      <c r="D62" s="389"/>
    </row>
    <row r="63" spans="1:4">
      <c r="A63" s="389" t="str">
        <f>A1</f>
        <v>City of Bonner Springs</v>
      </c>
      <c r="B63" s="388"/>
      <c r="C63" s="390"/>
      <c r="D63" s="388">
        <f>D1</f>
        <v>2014</v>
      </c>
    </row>
    <row r="64" spans="1:4">
      <c r="A64" s="617" t="s">
        <v>282</v>
      </c>
      <c r="B64" s="577" t="str">
        <f t="shared" ref="B64:D65" si="1">B2</f>
        <v xml:space="preserve">Prior Year </v>
      </c>
      <c r="C64" s="577" t="str">
        <f t="shared" si="1"/>
        <v>Current Year</v>
      </c>
      <c r="D64" s="577" t="str">
        <f t="shared" si="1"/>
        <v xml:space="preserve">Proposed Budget </v>
      </c>
    </row>
    <row r="65" spans="1:6">
      <c r="A65" s="618" t="s">
        <v>394</v>
      </c>
      <c r="B65" s="619" t="str">
        <f t="shared" si="1"/>
        <v>Actual for 2012</v>
      </c>
      <c r="C65" s="619" t="str">
        <f t="shared" si="1"/>
        <v>Estimate for 2013</v>
      </c>
      <c r="D65" s="619" t="str">
        <f t="shared" si="1"/>
        <v>Year for 2014</v>
      </c>
    </row>
    <row r="66" spans="1:6">
      <c r="A66" s="391" t="s">
        <v>291</v>
      </c>
      <c r="B66" s="392"/>
      <c r="C66" s="392"/>
      <c r="D66" s="392"/>
    </row>
    <row r="67" spans="1:6">
      <c r="A67" s="793" t="s">
        <v>1031</v>
      </c>
      <c r="B67" s="392"/>
      <c r="C67" s="392"/>
      <c r="D67" s="392"/>
      <c r="F67" s="616"/>
    </row>
    <row r="68" spans="1:6">
      <c r="A68" s="393" t="s">
        <v>299</v>
      </c>
      <c r="B68" s="394">
        <v>69783</v>
      </c>
      <c r="C68" s="394">
        <v>91315</v>
      </c>
      <c r="D68" s="394">
        <v>106315</v>
      </c>
    </row>
    <row r="69" spans="1:6">
      <c r="A69" s="393" t="s">
        <v>292</v>
      </c>
      <c r="B69" s="394">
        <v>68132</v>
      </c>
      <c r="C69" s="394">
        <v>86110</v>
      </c>
      <c r="D69" s="394">
        <v>75455</v>
      </c>
    </row>
    <row r="70" spans="1:6">
      <c r="A70" s="393" t="s">
        <v>293</v>
      </c>
      <c r="B70" s="394">
        <v>28754</v>
      </c>
      <c r="C70" s="394">
        <v>30050</v>
      </c>
      <c r="D70" s="394">
        <v>30050</v>
      </c>
    </row>
    <row r="71" spans="1:6">
      <c r="A71" s="393" t="s">
        <v>294</v>
      </c>
      <c r="B71" s="394">
        <v>4728</v>
      </c>
      <c r="C71" s="394">
        <v>2500</v>
      </c>
      <c r="D71" s="394">
        <v>1000</v>
      </c>
    </row>
    <row r="72" spans="1:6">
      <c r="A72" s="391" t="s">
        <v>259</v>
      </c>
      <c r="B72" s="395">
        <f>SUM(B68:B71)</f>
        <v>171397</v>
      </c>
      <c r="C72" s="395">
        <f>SUM(C68:C71)</f>
        <v>209975</v>
      </c>
      <c r="D72" s="395">
        <f>SUM(D68:D71)</f>
        <v>212820</v>
      </c>
    </row>
    <row r="73" spans="1:6">
      <c r="A73" s="794" t="s">
        <v>1032</v>
      </c>
      <c r="B73" s="389"/>
      <c r="C73" s="389"/>
      <c r="D73" s="389"/>
    </row>
    <row r="74" spans="1:6">
      <c r="A74" s="393" t="s">
        <v>299</v>
      </c>
      <c r="B74" s="394">
        <v>94689</v>
      </c>
      <c r="C74" s="394">
        <v>109561</v>
      </c>
      <c r="D74" s="394">
        <v>102970</v>
      </c>
    </row>
    <row r="75" spans="1:6">
      <c r="A75" s="393" t="s">
        <v>292</v>
      </c>
      <c r="B75" s="394">
        <v>69772</v>
      </c>
      <c r="C75" s="394">
        <v>84550</v>
      </c>
      <c r="D75" s="394">
        <v>86400</v>
      </c>
    </row>
    <row r="76" spans="1:6">
      <c r="A76" s="393" t="s">
        <v>293</v>
      </c>
      <c r="B76" s="394">
        <v>0</v>
      </c>
      <c r="C76" s="394">
        <v>0</v>
      </c>
      <c r="D76" s="394">
        <v>0</v>
      </c>
    </row>
    <row r="77" spans="1:6">
      <c r="A77" s="393" t="s">
        <v>294</v>
      </c>
      <c r="B77" s="394">
        <v>0</v>
      </c>
      <c r="C77" s="394">
        <v>0</v>
      </c>
      <c r="D77" s="394">
        <v>0</v>
      </c>
    </row>
    <row r="78" spans="1:6">
      <c r="A78" s="391" t="s">
        <v>259</v>
      </c>
      <c r="B78" s="395">
        <f>SUM(B74:B77)</f>
        <v>164461</v>
      </c>
      <c r="C78" s="395">
        <f>SUM(C74:C77)</f>
        <v>194111</v>
      </c>
      <c r="D78" s="395">
        <f>SUM(D74:D77)</f>
        <v>189370</v>
      </c>
    </row>
    <row r="79" spans="1:6">
      <c r="A79" s="794" t="s">
        <v>1033</v>
      </c>
      <c r="B79" s="389"/>
      <c r="C79" s="389"/>
      <c r="D79" s="389"/>
    </row>
    <row r="80" spans="1:6">
      <c r="A80" s="393" t="s">
        <v>299</v>
      </c>
      <c r="B80" s="394">
        <v>346581</v>
      </c>
      <c r="C80" s="394">
        <v>405281</v>
      </c>
      <c r="D80" s="394">
        <v>422651</v>
      </c>
    </row>
    <row r="81" spans="1:4">
      <c r="A81" s="393" t="s">
        <v>292</v>
      </c>
      <c r="B81" s="394">
        <v>96868</v>
      </c>
      <c r="C81" s="394">
        <v>103875</v>
      </c>
      <c r="D81" s="394">
        <v>130692</v>
      </c>
    </row>
    <row r="82" spans="1:4">
      <c r="A82" s="393" t="s">
        <v>293</v>
      </c>
      <c r="B82" s="394">
        <v>27709</v>
      </c>
      <c r="C82" s="394">
        <v>38600</v>
      </c>
      <c r="D82" s="394">
        <v>33200</v>
      </c>
    </row>
    <row r="83" spans="1:4">
      <c r="A83" s="393" t="s">
        <v>294</v>
      </c>
      <c r="B83" s="394">
        <v>3900</v>
      </c>
      <c r="C83" s="394">
        <v>8430</v>
      </c>
      <c r="D83" s="394">
        <v>44500</v>
      </c>
    </row>
    <row r="84" spans="1:4">
      <c r="A84" s="391" t="s">
        <v>259</v>
      </c>
      <c r="B84" s="395">
        <f>SUM(B80:B83)</f>
        <v>475058</v>
      </c>
      <c r="C84" s="395">
        <f>SUM(C80:C83)</f>
        <v>556186</v>
      </c>
      <c r="D84" s="395">
        <f>SUM(D80:D83)</f>
        <v>631043</v>
      </c>
    </row>
    <row r="85" spans="1:4">
      <c r="A85" s="794" t="s">
        <v>1034</v>
      </c>
      <c r="B85" s="389"/>
      <c r="C85" s="389"/>
      <c r="D85" s="389"/>
    </row>
    <row r="86" spans="1:4">
      <c r="A86" s="393" t="s">
        <v>299</v>
      </c>
      <c r="B86" s="394">
        <v>97306</v>
      </c>
      <c r="C86" s="394">
        <v>103635</v>
      </c>
      <c r="D86" s="394">
        <v>108957</v>
      </c>
    </row>
    <row r="87" spans="1:4">
      <c r="A87" s="393" t="s">
        <v>292</v>
      </c>
      <c r="B87" s="394">
        <v>7583</v>
      </c>
      <c r="C87" s="394">
        <v>10615</v>
      </c>
      <c r="D87" s="394">
        <v>8781</v>
      </c>
    </row>
    <row r="88" spans="1:4">
      <c r="A88" s="393" t="s">
        <v>293</v>
      </c>
      <c r="B88" s="394">
        <v>1801</v>
      </c>
      <c r="C88" s="394">
        <v>2300</v>
      </c>
      <c r="D88" s="394">
        <v>2200</v>
      </c>
    </row>
    <row r="89" spans="1:4">
      <c r="A89" s="393" t="s">
        <v>294</v>
      </c>
      <c r="B89" s="394">
        <v>0</v>
      </c>
      <c r="C89" s="394">
        <v>0</v>
      </c>
      <c r="D89" s="394">
        <v>0</v>
      </c>
    </row>
    <row r="90" spans="1:4">
      <c r="A90" s="391" t="s">
        <v>259</v>
      </c>
      <c r="B90" s="395">
        <f>SUM(B86:B89)</f>
        <v>106690</v>
      </c>
      <c r="C90" s="395">
        <f>SUM(C86:C89)</f>
        <v>116550</v>
      </c>
      <c r="D90" s="395">
        <f>SUM(D86:D89)</f>
        <v>119938</v>
      </c>
    </row>
    <row r="91" spans="1:4">
      <c r="A91" s="794" t="s">
        <v>1035</v>
      </c>
      <c r="B91" s="389"/>
      <c r="C91" s="389"/>
      <c r="D91" s="389"/>
    </row>
    <row r="92" spans="1:4">
      <c r="A92" s="393" t="s">
        <v>299</v>
      </c>
      <c r="B92" s="394">
        <v>1956905</v>
      </c>
      <c r="C92" s="394">
        <v>2149333</v>
      </c>
      <c r="D92" s="394">
        <v>2303581</v>
      </c>
    </row>
    <row r="93" spans="1:4">
      <c r="A93" s="393" t="s">
        <v>292</v>
      </c>
      <c r="B93" s="394">
        <v>221102</v>
      </c>
      <c r="C93" s="394">
        <v>221755</v>
      </c>
      <c r="D93" s="394">
        <v>221320</v>
      </c>
    </row>
    <row r="94" spans="1:4">
      <c r="A94" s="393" t="s">
        <v>293</v>
      </c>
      <c r="B94" s="394">
        <v>122567</v>
      </c>
      <c r="C94" s="394">
        <v>108000</v>
      </c>
      <c r="D94" s="394">
        <v>110000</v>
      </c>
    </row>
    <row r="95" spans="1:4">
      <c r="A95" s="393" t="s">
        <v>294</v>
      </c>
      <c r="B95" s="394">
        <v>3484</v>
      </c>
      <c r="C95" s="394">
        <v>0</v>
      </c>
      <c r="D95" s="394">
        <v>0</v>
      </c>
    </row>
    <row r="96" spans="1:4">
      <c r="A96" s="391" t="s">
        <v>259</v>
      </c>
      <c r="B96" s="395">
        <f>SUM(B92:B95)</f>
        <v>2304058</v>
      </c>
      <c r="C96" s="395">
        <f>SUM(C92:C95)</f>
        <v>2479088</v>
      </c>
      <c r="D96" s="395">
        <f>SUM(D92:D95)</f>
        <v>2634901</v>
      </c>
    </row>
    <row r="97" spans="1:4">
      <c r="A97" s="794" t="s">
        <v>1206</v>
      </c>
      <c r="B97" s="389"/>
      <c r="C97" s="389"/>
      <c r="D97" s="389"/>
    </row>
    <row r="98" spans="1:4">
      <c r="A98" s="393" t="s">
        <v>299</v>
      </c>
      <c r="B98" s="394">
        <v>78397</v>
      </c>
      <c r="C98" s="394">
        <v>82881</v>
      </c>
      <c r="D98" s="394">
        <v>86912</v>
      </c>
    </row>
    <row r="99" spans="1:4">
      <c r="A99" s="393" t="s">
        <v>292</v>
      </c>
      <c r="B99" s="394">
        <v>5203</v>
      </c>
      <c r="C99" s="394">
        <v>5925</v>
      </c>
      <c r="D99" s="394">
        <v>9407</v>
      </c>
    </row>
    <row r="100" spans="1:4">
      <c r="A100" s="393" t="s">
        <v>293</v>
      </c>
      <c r="B100" s="394">
        <v>504</v>
      </c>
      <c r="C100" s="394">
        <v>475</v>
      </c>
      <c r="D100" s="394">
        <v>1980</v>
      </c>
    </row>
    <row r="101" spans="1:4">
      <c r="A101" s="393" t="s">
        <v>294</v>
      </c>
      <c r="B101" s="394">
        <v>0</v>
      </c>
      <c r="C101" s="394">
        <v>0</v>
      </c>
      <c r="D101" s="394">
        <v>0</v>
      </c>
    </row>
    <row r="102" spans="1:4">
      <c r="A102" s="391" t="s">
        <v>259</v>
      </c>
      <c r="B102" s="395">
        <f>SUM(B98:B101)</f>
        <v>84104</v>
      </c>
      <c r="C102" s="395">
        <f>SUM(C98:C101)</f>
        <v>89281</v>
      </c>
      <c r="D102" s="395">
        <f>SUM(D98:D101)</f>
        <v>98299</v>
      </c>
    </row>
    <row r="103" spans="1:4">
      <c r="A103" s="794" t="s">
        <v>1036</v>
      </c>
      <c r="B103" s="389"/>
      <c r="C103" s="389"/>
      <c r="D103" s="389"/>
    </row>
    <row r="104" spans="1:4">
      <c r="A104" s="393" t="s">
        <v>299</v>
      </c>
      <c r="B104" s="394">
        <v>53903</v>
      </c>
      <c r="C104" s="394">
        <v>58214</v>
      </c>
      <c r="D104" s="394">
        <v>60981</v>
      </c>
    </row>
    <row r="105" spans="1:4">
      <c r="A105" s="393" t="s">
        <v>292</v>
      </c>
      <c r="B105" s="394">
        <v>3812</v>
      </c>
      <c r="C105" s="394">
        <v>8145</v>
      </c>
      <c r="D105" s="394">
        <v>7461</v>
      </c>
    </row>
    <row r="106" spans="1:4">
      <c r="A106" s="393" t="s">
        <v>293</v>
      </c>
      <c r="B106" s="394">
        <v>1786</v>
      </c>
      <c r="C106" s="394">
        <v>2100</v>
      </c>
      <c r="D106" s="394">
        <v>2200</v>
      </c>
    </row>
    <row r="107" spans="1:4">
      <c r="A107" s="393" t="s">
        <v>294</v>
      </c>
      <c r="B107" s="394">
        <v>0</v>
      </c>
      <c r="C107" s="394">
        <v>0</v>
      </c>
      <c r="D107" s="394">
        <v>0</v>
      </c>
    </row>
    <row r="108" spans="1:4">
      <c r="A108" s="391" t="s">
        <v>259</v>
      </c>
      <c r="B108" s="395">
        <f>SUM(B104:B107)</f>
        <v>59501</v>
      </c>
      <c r="C108" s="395">
        <f>SUM(C104:C107)</f>
        <v>68459</v>
      </c>
      <c r="D108" s="395">
        <f>SUM(D104:D107)</f>
        <v>70642</v>
      </c>
    </row>
    <row r="109" spans="1:4">
      <c r="A109" s="794" t="s">
        <v>1037</v>
      </c>
      <c r="B109" s="389"/>
      <c r="C109" s="389"/>
      <c r="D109" s="389"/>
    </row>
    <row r="110" spans="1:4">
      <c r="A110" s="393" t="s">
        <v>299</v>
      </c>
      <c r="B110" s="394">
        <v>491315</v>
      </c>
      <c r="C110" s="394">
        <v>566628</v>
      </c>
      <c r="D110" s="394">
        <v>560126</v>
      </c>
    </row>
    <row r="111" spans="1:4">
      <c r="A111" s="393" t="s">
        <v>292</v>
      </c>
      <c r="B111" s="394">
        <v>64795</v>
      </c>
      <c r="C111" s="394">
        <v>86152</v>
      </c>
      <c r="D111" s="394">
        <v>113003</v>
      </c>
    </row>
    <row r="112" spans="1:4">
      <c r="A112" s="393" t="s">
        <v>293</v>
      </c>
      <c r="B112" s="394">
        <v>106726</v>
      </c>
      <c r="C112" s="394">
        <v>155000</v>
      </c>
      <c r="D112" s="394">
        <v>155000</v>
      </c>
    </row>
    <row r="113" spans="1:4">
      <c r="A113" s="393" t="s">
        <v>294</v>
      </c>
      <c r="B113" s="394">
        <v>21121</v>
      </c>
      <c r="C113" s="394">
        <v>110000</v>
      </c>
      <c r="D113" s="394">
        <v>155600</v>
      </c>
    </row>
    <row r="114" spans="1:4">
      <c r="A114" s="391" t="s">
        <v>259</v>
      </c>
      <c r="B114" s="395">
        <f>SUM(B110:B113)</f>
        <v>683957</v>
      </c>
      <c r="C114" s="395">
        <f>SUM(C110:C113)</f>
        <v>917780</v>
      </c>
      <c r="D114" s="395">
        <f>SUM(D110:D113)</f>
        <v>983729</v>
      </c>
    </row>
    <row r="115" spans="1:4">
      <c r="A115" s="794" t="s">
        <v>1038</v>
      </c>
      <c r="B115" s="389"/>
      <c r="C115" s="389"/>
      <c r="D115" s="389"/>
    </row>
    <row r="116" spans="1:4">
      <c r="A116" s="393" t="s">
        <v>1050</v>
      </c>
      <c r="B116" s="394">
        <v>99</v>
      </c>
      <c r="C116" s="394">
        <v>0</v>
      </c>
      <c r="D116" s="394">
        <v>4000</v>
      </c>
    </row>
    <row r="117" spans="1:4">
      <c r="A117" s="393" t="s">
        <v>1040</v>
      </c>
      <c r="B117" s="394">
        <v>796316</v>
      </c>
      <c r="C117" s="394">
        <v>832790</v>
      </c>
      <c r="D117" s="394">
        <v>816110</v>
      </c>
    </row>
    <row r="118" spans="1:4">
      <c r="A118" s="391" t="s">
        <v>1207</v>
      </c>
      <c r="B118" s="395">
        <f>SUM(B116:B117)</f>
        <v>796415</v>
      </c>
      <c r="C118" s="395">
        <f t="shared" ref="C118:D118" si="2">SUM(C116:C117)</f>
        <v>832790</v>
      </c>
      <c r="D118" s="395">
        <f t="shared" si="2"/>
        <v>820110</v>
      </c>
    </row>
    <row r="119" spans="1:4">
      <c r="A119" s="393" t="s">
        <v>1039</v>
      </c>
      <c r="B119" s="394">
        <v>0</v>
      </c>
      <c r="C119" s="394">
        <v>359725</v>
      </c>
      <c r="D119" s="394">
        <v>370220</v>
      </c>
    </row>
    <row r="120" spans="1:4">
      <c r="A120" s="391" t="s">
        <v>1208</v>
      </c>
      <c r="B120" s="395">
        <f>B119</f>
        <v>0</v>
      </c>
      <c r="C120" s="395">
        <f t="shared" ref="C120:D120" si="3">C119</f>
        <v>359725</v>
      </c>
      <c r="D120" s="395">
        <f t="shared" si="3"/>
        <v>370220</v>
      </c>
    </row>
    <row r="121" spans="1:4">
      <c r="A121" s="396" t="s">
        <v>395</v>
      </c>
      <c r="B121" s="397">
        <f>B72+B78+B84+B90+B96+B102+B108+B114+B118+B120</f>
        <v>4845641</v>
      </c>
      <c r="C121" s="397">
        <f t="shared" ref="C121:D121" si="4">C72+C78+C84+C90+C96+C102+C108+C114+C118+C120</f>
        <v>5823945</v>
      </c>
      <c r="D121" s="397">
        <f t="shared" si="4"/>
        <v>6131072</v>
      </c>
    </row>
    <row r="122" spans="1:4">
      <c r="A122" s="391" t="s">
        <v>396</v>
      </c>
      <c r="B122" s="395">
        <f>B60</f>
        <v>1311401</v>
      </c>
      <c r="C122" s="395">
        <f>C60</f>
        <v>1440322</v>
      </c>
      <c r="D122" s="395">
        <f>D60</f>
        <v>1335147</v>
      </c>
    </row>
    <row r="123" spans="1:4" ht="16.5" thickBot="1">
      <c r="A123" s="391" t="s">
        <v>397</v>
      </c>
      <c r="B123" s="399">
        <f>SUM(B121:B122)</f>
        <v>6157042</v>
      </c>
      <c r="C123" s="399">
        <f>SUM(C121:C122)</f>
        <v>7264267</v>
      </c>
      <c r="D123" s="399">
        <f>SUM(D121:D122)</f>
        <v>7466219</v>
      </c>
    </row>
    <row r="124" spans="1:4" ht="16.5" thickTop="1">
      <c r="A124" s="398" t="s">
        <v>219</v>
      </c>
      <c r="B124" s="389"/>
      <c r="C124" s="389"/>
      <c r="D124" s="389"/>
    </row>
    <row r="125" spans="1:4">
      <c r="A125" s="197" t="s">
        <v>298</v>
      </c>
      <c r="B125" s="389" t="str">
        <f>CONCATENATE("",general!D44,"c")</f>
        <v>8c</v>
      </c>
      <c r="C125" s="389"/>
      <c r="D125" s="389"/>
    </row>
  </sheetData>
  <phoneticPr fontId="0" type="noConversion"/>
  <pageMargins left="0.5" right="0.5" top="1" bottom="0.5" header="0.5" footer="0.5"/>
  <pageSetup scale="64" fitToHeight="2" orientation="portrait" blackAndWhite="1" horizontalDpi="300" verticalDpi="300" r:id="rId1"/>
  <headerFooter alignWithMargins="0">
    <oddHeader>&amp;RState of Kansas
City</oddHeader>
  </headerFooter>
  <rowBreaks count="1" manualBreakCount="1">
    <brk id="61" max="3" man="1"/>
  </rowBreaks>
</worksheet>
</file>

<file path=xl/worksheets/sheet15.xml><?xml version="1.0" encoding="utf-8"?>
<worksheet xmlns="http://schemas.openxmlformats.org/spreadsheetml/2006/main" xmlns:r="http://schemas.openxmlformats.org/officeDocument/2006/relationships">
  <dimension ref="A1:K103"/>
  <sheetViews>
    <sheetView zoomScaleNormal="100" workbookViewId="0">
      <selection activeCell="C46" sqref="C46:D46"/>
    </sheetView>
  </sheetViews>
  <sheetFormatPr defaultColWidth="8.88671875" defaultRowHeight="15.75"/>
  <cols>
    <col min="1" max="1" width="2.44140625" style="80" customWidth="1"/>
    <col min="2" max="2" width="31.109375" style="80" customWidth="1"/>
    <col min="3" max="4" width="15.77734375" style="80" customWidth="1"/>
    <col min="5" max="5" width="16.21875" style="80" customWidth="1"/>
    <col min="6" max="6" width="8.109375" style="80" customWidth="1"/>
    <col min="7" max="7" width="10.21875" style="80" customWidth="1"/>
    <col min="8" max="8" width="8.88671875" style="80"/>
    <col min="9" max="9" width="5" style="80" customWidth="1"/>
    <col min="10" max="10" width="10" style="80" customWidth="1"/>
    <col min="11" max="16384" width="8.88671875" style="80"/>
  </cols>
  <sheetData>
    <row r="1" spans="2:5">
      <c r="B1" s="253" t="str">
        <f>inputPrYr!D3</f>
        <v>City of Bonner Springs</v>
      </c>
      <c r="C1" s="84"/>
      <c r="D1" s="84"/>
      <c r="E1" s="341">
        <f>inputPrYr!$C$10</f>
        <v>2014</v>
      </c>
    </row>
    <row r="2" spans="2:5">
      <c r="B2" s="84"/>
      <c r="C2" s="84"/>
      <c r="D2" s="84"/>
      <c r="E2" s="228"/>
    </row>
    <row r="3" spans="2:5">
      <c r="B3" s="497" t="s">
        <v>6</v>
      </c>
      <c r="C3" s="260"/>
      <c r="D3" s="260"/>
      <c r="E3" s="368"/>
    </row>
    <row r="4" spans="2:5">
      <c r="B4" s="91" t="s">
        <v>282</v>
      </c>
      <c r="C4" s="614" t="s">
        <v>806</v>
      </c>
      <c r="D4" s="615" t="s">
        <v>807</v>
      </c>
      <c r="E4" s="204" t="s">
        <v>808</v>
      </c>
    </row>
    <row r="5" spans="2:5">
      <c r="B5" s="561" t="str">
        <f>inputPrYr!B23</f>
        <v>Debt Service</v>
      </c>
      <c r="C5" s="440" t="str">
        <f>CONCATENATE("Actual for ",E1-2,"")</f>
        <v>Actual for 2012</v>
      </c>
      <c r="D5" s="440" t="str">
        <f>CONCATENATE("Estimate for ",E1-1,"")</f>
        <v>Estimate for 2013</v>
      </c>
      <c r="E5" s="268" t="str">
        <f>CONCATENATE("Year for ",E1,"")</f>
        <v>Year for 2014</v>
      </c>
    </row>
    <row r="6" spans="2:5">
      <c r="B6" s="167" t="s">
        <v>57</v>
      </c>
      <c r="C6" s="439">
        <v>221916</v>
      </c>
      <c r="D6" s="496">
        <f>C43</f>
        <v>326169</v>
      </c>
      <c r="E6" s="369">
        <f>D43</f>
        <v>326706</v>
      </c>
    </row>
    <row r="7" spans="2:5">
      <c r="B7" s="347" t="s">
        <v>59</v>
      </c>
      <c r="C7" s="441"/>
      <c r="D7" s="496"/>
      <c r="E7" s="369"/>
    </row>
    <row r="8" spans="2:5">
      <c r="B8" s="167" t="s">
        <v>283</v>
      </c>
      <c r="C8" s="439">
        <v>417045</v>
      </c>
      <c r="D8" s="441">
        <v>448156</v>
      </c>
      <c r="E8" s="364" t="s">
        <v>272</v>
      </c>
    </row>
    <row r="9" spans="2:5">
      <c r="B9" s="167" t="s">
        <v>284</v>
      </c>
      <c r="C9" s="439">
        <v>20673</v>
      </c>
      <c r="D9" s="439">
        <v>0</v>
      </c>
      <c r="E9" s="370">
        <v>0</v>
      </c>
    </row>
    <row r="10" spans="2:5">
      <c r="B10" s="167" t="s">
        <v>285</v>
      </c>
      <c r="C10" s="439">
        <v>54025</v>
      </c>
      <c r="D10" s="439">
        <v>53794</v>
      </c>
      <c r="E10" s="371">
        <f>mvalloc!D9</f>
        <v>56433</v>
      </c>
    </row>
    <row r="11" spans="2:5">
      <c r="B11" s="167" t="s">
        <v>286</v>
      </c>
      <c r="C11" s="439">
        <v>382</v>
      </c>
      <c r="D11" s="439">
        <v>363</v>
      </c>
      <c r="E11" s="371">
        <f>mvalloc!E9</f>
        <v>361</v>
      </c>
    </row>
    <row r="12" spans="2:5">
      <c r="B12" s="372" t="s">
        <v>38</v>
      </c>
      <c r="C12" s="439">
        <v>578</v>
      </c>
      <c r="D12" s="439">
        <v>526</v>
      </c>
      <c r="E12" s="371">
        <f>mvalloc!F9</f>
        <v>375</v>
      </c>
    </row>
    <row r="13" spans="2:5">
      <c r="B13" s="812" t="s">
        <v>1109</v>
      </c>
      <c r="C13" s="439">
        <v>12785</v>
      </c>
      <c r="D13" s="439">
        <v>14631</v>
      </c>
      <c r="E13" s="370">
        <v>11324</v>
      </c>
    </row>
    <row r="14" spans="2:5">
      <c r="B14" s="812" t="s">
        <v>1110</v>
      </c>
      <c r="C14" s="439">
        <v>0</v>
      </c>
      <c r="D14" s="439">
        <v>-28758</v>
      </c>
      <c r="E14" s="370">
        <v>-20276</v>
      </c>
    </row>
    <row r="15" spans="2:5">
      <c r="B15" s="813" t="s">
        <v>1111</v>
      </c>
      <c r="C15" s="439">
        <v>124644</v>
      </c>
      <c r="D15" s="439">
        <v>180000</v>
      </c>
      <c r="E15" s="370">
        <v>125000</v>
      </c>
    </row>
    <row r="16" spans="2:5">
      <c r="B16" s="813" t="s">
        <v>331</v>
      </c>
      <c r="C16" s="439">
        <v>2407</v>
      </c>
      <c r="D16" s="439">
        <v>2000</v>
      </c>
      <c r="E16" s="370">
        <v>2000</v>
      </c>
    </row>
    <row r="17" spans="2:5">
      <c r="B17" s="813" t="s">
        <v>1112</v>
      </c>
      <c r="C17" s="439">
        <v>306</v>
      </c>
      <c r="D17" s="439">
        <v>0</v>
      </c>
      <c r="E17" s="370">
        <v>0</v>
      </c>
    </row>
    <row r="18" spans="2:5">
      <c r="B18" s="813" t="s">
        <v>1120</v>
      </c>
      <c r="C18" s="439">
        <v>543123</v>
      </c>
      <c r="D18" s="439">
        <v>537319</v>
      </c>
      <c r="E18" s="370">
        <v>566169</v>
      </c>
    </row>
    <row r="19" spans="2:5">
      <c r="B19" s="813" t="s">
        <v>1121</v>
      </c>
      <c r="C19" s="439">
        <v>319032</v>
      </c>
      <c r="D19" s="439">
        <v>313001</v>
      </c>
      <c r="E19" s="370">
        <v>389407</v>
      </c>
    </row>
    <row r="20" spans="2:5">
      <c r="B20" s="813" t="s">
        <v>1113</v>
      </c>
      <c r="C20" s="439">
        <v>429840</v>
      </c>
      <c r="D20" s="439">
        <v>387470</v>
      </c>
      <c r="E20" s="370">
        <v>437940</v>
      </c>
    </row>
    <row r="21" spans="2:5">
      <c r="B21" s="813" t="s">
        <v>1114</v>
      </c>
      <c r="C21" s="439">
        <v>0</v>
      </c>
      <c r="D21" s="439">
        <v>49060</v>
      </c>
      <c r="E21" s="370">
        <v>0</v>
      </c>
    </row>
    <row r="22" spans="2:5">
      <c r="B22" s="813" t="s">
        <v>1115</v>
      </c>
      <c r="C22" s="439">
        <v>191601</v>
      </c>
      <c r="D22" s="439">
        <v>0</v>
      </c>
      <c r="E22" s="370">
        <v>0</v>
      </c>
    </row>
    <row r="23" spans="2:5">
      <c r="B23" s="373" t="s">
        <v>1116</v>
      </c>
      <c r="C23" s="439">
        <v>141260</v>
      </c>
      <c r="D23" s="439">
        <v>0</v>
      </c>
      <c r="E23" s="370">
        <v>0</v>
      </c>
    </row>
    <row r="24" spans="2:5">
      <c r="B24" s="373" t="s">
        <v>1117</v>
      </c>
      <c r="C24" s="439">
        <v>19961</v>
      </c>
      <c r="D24" s="439">
        <v>19743</v>
      </c>
      <c r="E24" s="370">
        <v>19828</v>
      </c>
    </row>
    <row r="25" spans="2:5">
      <c r="B25" s="374" t="s">
        <v>1118</v>
      </c>
      <c r="C25" s="439">
        <v>75438</v>
      </c>
      <c r="D25" s="439">
        <v>268044</v>
      </c>
      <c r="E25" s="370">
        <v>268501</v>
      </c>
    </row>
    <row r="26" spans="2:5">
      <c r="B26" s="374" t="s">
        <v>1119</v>
      </c>
      <c r="C26" s="439">
        <v>442168</v>
      </c>
      <c r="D26" s="439">
        <v>441968</v>
      </c>
      <c r="E26" s="370">
        <v>892294</v>
      </c>
    </row>
    <row r="27" spans="2:5">
      <c r="B27" s="352" t="s">
        <v>182</v>
      </c>
      <c r="C27" s="439"/>
      <c r="D27" s="439"/>
      <c r="E27" s="370"/>
    </row>
    <row r="28" spans="2:5">
      <c r="B28" s="352" t="s">
        <v>668</v>
      </c>
      <c r="C28" s="433" t="str">
        <f>IF(C29*0.1&lt;C27,"Exceed 10% Rule","")</f>
        <v/>
      </c>
      <c r="D28" s="433" t="str">
        <f>IF(D29*0.1&lt;D27,"Exceed 10% Rule","")</f>
        <v/>
      </c>
      <c r="E28" s="375" t="str">
        <f>IF(E29*0.1+E49&lt;E27,"Exceed 10% Rule","")</f>
        <v/>
      </c>
    </row>
    <row r="29" spans="2:5">
      <c r="B29" s="354" t="s">
        <v>288</v>
      </c>
      <c r="C29" s="442">
        <f>SUM(C8:C27)</f>
        <v>2795268</v>
      </c>
      <c r="D29" s="443">
        <f>SUM(D8:D27)</f>
        <v>2687317</v>
      </c>
      <c r="E29" s="376">
        <f>SUM(E8:E27)</f>
        <v>2749356</v>
      </c>
    </row>
    <row r="30" spans="2:5">
      <c r="B30" s="354" t="s">
        <v>289</v>
      </c>
      <c r="C30" s="443">
        <f>C6+C29</f>
        <v>3017184</v>
      </c>
      <c r="D30" s="443">
        <f>D6+D29</f>
        <v>3013486</v>
      </c>
      <c r="E30" s="377">
        <f>E6+E29</f>
        <v>3076062</v>
      </c>
    </row>
    <row r="31" spans="2:5">
      <c r="B31" s="347" t="s">
        <v>291</v>
      </c>
      <c r="C31" s="441"/>
      <c r="D31" s="441"/>
      <c r="E31" s="371"/>
    </row>
    <row r="32" spans="2:5">
      <c r="B32" s="348" t="s">
        <v>1122</v>
      </c>
      <c r="C32" s="439">
        <v>1925000</v>
      </c>
      <c r="D32" s="439">
        <v>1980000</v>
      </c>
      <c r="E32" s="370">
        <v>2579150</v>
      </c>
    </row>
    <row r="33" spans="2:11">
      <c r="B33" s="348" t="s">
        <v>331</v>
      </c>
      <c r="C33" s="439">
        <v>766015</v>
      </c>
      <c r="D33" s="439">
        <v>706780</v>
      </c>
      <c r="E33" s="370">
        <v>664242</v>
      </c>
      <c r="G33" s="925" t="str">
        <f>CONCATENATE("Desired Carryover Into ",E1+1,"")</f>
        <v>Desired Carryover Into 2015</v>
      </c>
      <c r="H33" s="920"/>
      <c r="I33" s="920"/>
      <c r="J33" s="921"/>
    </row>
    <row r="34" spans="2:11">
      <c r="B34" s="348"/>
      <c r="C34" s="439"/>
      <c r="D34" s="439"/>
      <c r="E34" s="370"/>
      <c r="G34" s="725"/>
      <c r="H34" s="491"/>
      <c r="I34" s="726"/>
      <c r="J34" s="727"/>
    </row>
    <row r="35" spans="2:11">
      <c r="B35" s="348"/>
      <c r="C35" s="439"/>
      <c r="D35" s="439"/>
      <c r="E35" s="370"/>
      <c r="G35" s="728" t="s">
        <v>673</v>
      </c>
      <c r="H35" s="726"/>
      <c r="I35" s="726"/>
      <c r="J35" s="729">
        <v>0</v>
      </c>
    </row>
    <row r="36" spans="2:11">
      <c r="B36" s="348"/>
      <c r="C36" s="439"/>
      <c r="D36" s="439"/>
      <c r="E36" s="370"/>
      <c r="G36" s="725" t="s">
        <v>674</v>
      </c>
      <c r="H36" s="491"/>
      <c r="I36" s="491"/>
      <c r="J36" s="730" t="str">
        <f>IF(J35=0,"",ROUND((J35+E49-G48)/inputOth!B14*1000,3)-G53)</f>
        <v/>
      </c>
    </row>
    <row r="37" spans="2:11">
      <c r="B37" s="348"/>
      <c r="C37" s="439"/>
      <c r="D37" s="439"/>
      <c r="E37" s="370"/>
      <c r="G37" s="731" t="str">
        <f>CONCATENATE("",E1," Tot Exp/Non-Appr Must Be:")</f>
        <v>2014 Tot Exp/Non-Appr Must Be:</v>
      </c>
      <c r="H37" s="732"/>
      <c r="I37" s="733"/>
      <c r="J37" s="734">
        <f>IF(J35&gt;0,IF(E46&lt;E30,IF(J35=G48,E46,((J35-G48)*(1-D48))+E30),E46+(J35-G48)),0)</f>
        <v>0</v>
      </c>
    </row>
    <row r="38" spans="2:11">
      <c r="B38" s="348"/>
      <c r="C38" s="439"/>
      <c r="D38" s="439"/>
      <c r="E38" s="370"/>
      <c r="G38" s="695" t="s">
        <v>891</v>
      </c>
      <c r="H38" s="735"/>
      <c r="I38" s="735"/>
      <c r="J38" s="697">
        <f>IF(J35&gt;0,J37-E46,0)</f>
        <v>0</v>
      </c>
    </row>
    <row r="39" spans="2:11">
      <c r="B39" s="352" t="s">
        <v>181</v>
      </c>
      <c r="C39" s="439"/>
      <c r="D39" s="439"/>
      <c r="E39" s="378" t="str">
        <f>nhood!E7</f>
        <v/>
      </c>
    </row>
    <row r="40" spans="2:11">
      <c r="B40" s="352" t="s">
        <v>1123</v>
      </c>
      <c r="C40" s="439">
        <v>0</v>
      </c>
      <c r="D40" s="439">
        <v>0</v>
      </c>
      <c r="E40" s="370">
        <v>50000</v>
      </c>
      <c r="G40" s="926" t="str">
        <f>CONCATENATE("Projected Carryover Into ",E1+1,"")</f>
        <v>Projected Carryover Into 2015</v>
      </c>
      <c r="H40" s="927"/>
      <c r="I40" s="927"/>
      <c r="J40" s="921"/>
    </row>
    <row r="41" spans="2:11">
      <c r="B41" s="352" t="s">
        <v>183</v>
      </c>
      <c r="C41" s="433" t="str">
        <f>IF(C42*0.1&lt;C40,"Exceed 10% Rule","")</f>
        <v/>
      </c>
      <c r="D41" s="433" t="str">
        <f>IF(D42*0.1&lt;D40,"Exceed 10% Rule","")</f>
        <v/>
      </c>
      <c r="E41" s="375" t="str">
        <f>IF(E42*0.1&lt;E40,"Exceed 10% Rule","")</f>
        <v/>
      </c>
      <c r="G41" s="681"/>
      <c r="H41" s="682"/>
      <c r="I41" s="682"/>
      <c r="J41" s="736"/>
    </row>
    <row r="42" spans="2:11">
      <c r="B42" s="354" t="s">
        <v>295</v>
      </c>
      <c r="C42" s="442">
        <f>SUM(C32:C40)</f>
        <v>2691015</v>
      </c>
      <c r="D42" s="443">
        <f>SUM(D32:D40)</f>
        <v>2686780</v>
      </c>
      <c r="E42" s="376">
        <f>SUM(E32:E40)</f>
        <v>3293392</v>
      </c>
      <c r="G42" s="737">
        <f>D43</f>
        <v>326706</v>
      </c>
      <c r="H42" s="738" t="str">
        <f>CONCATENATE("",E1-1," Ending Cash Balance (est.)")</f>
        <v>2013 Ending Cash Balance (est.)</v>
      </c>
      <c r="I42" s="683"/>
      <c r="J42" s="736"/>
    </row>
    <row r="43" spans="2:11">
      <c r="B43" s="167" t="s">
        <v>58</v>
      </c>
      <c r="C43" s="444">
        <f>C30-C42</f>
        <v>326169</v>
      </c>
      <c r="D43" s="444">
        <f>D30-D42</f>
        <v>326706</v>
      </c>
      <c r="E43" s="364" t="s">
        <v>272</v>
      </c>
      <c r="G43" s="737">
        <f>E29</f>
        <v>2749356</v>
      </c>
      <c r="H43" s="739" t="str">
        <f>CONCATENATE("",E1," Non-AV Receipts (est.)")</f>
        <v>2014 Non-AV Receipts (est.)</v>
      </c>
      <c r="I43" s="682"/>
      <c r="J43" s="736"/>
    </row>
    <row r="44" spans="2:11">
      <c r="B44" s="197" t="str">
        <f>CONCATENATE("",E1-2,"/",E1-1," Budget Authority Amount:")</f>
        <v>2012/2013 Budget Authority Amount:</v>
      </c>
      <c r="C44" s="303">
        <f>inputOth!B74</f>
        <v>2741016</v>
      </c>
      <c r="D44" s="303">
        <f>inputPrYr!D23</f>
        <v>3576632</v>
      </c>
      <c r="E44" s="364" t="s">
        <v>272</v>
      </c>
      <c r="F44" s="365"/>
      <c r="G44" s="740">
        <f>IF(E48&gt;0,E47,E49)</f>
        <v>353911</v>
      </c>
      <c r="H44" s="739" t="str">
        <f>CONCATENATE("",E1," Ad Valorem Tax (est.)")</f>
        <v>2014 Ad Valorem Tax (est.)</v>
      </c>
      <c r="I44" s="682"/>
      <c r="J44" s="736"/>
      <c r="K44" s="741" t="str">
        <f>IF(G44=E49,"","Note: Does not include Delinquent Taxes")</f>
        <v>Note: Does not include Delinquent Taxes</v>
      </c>
    </row>
    <row r="45" spans="2:11">
      <c r="B45" s="197"/>
      <c r="C45" s="913" t="s">
        <v>670</v>
      </c>
      <c r="D45" s="914"/>
      <c r="E45" s="106">
        <v>136581</v>
      </c>
      <c r="F45" s="703" t="str">
        <f>IF(E42/0.95-E42&lt;E45,"Exceeds 5%","")</f>
        <v/>
      </c>
      <c r="G45" s="737">
        <f>SUM(G42:G44)</f>
        <v>3429973</v>
      </c>
      <c r="H45" s="739" t="str">
        <f>CONCATENATE("Total ",E1," Resources Available")</f>
        <v>Total 2014 Resources Available</v>
      </c>
      <c r="I45" s="683"/>
      <c r="J45" s="736"/>
    </row>
    <row r="46" spans="2:11">
      <c r="B46" s="541" t="str">
        <f>CONCATENATE(C100,"     ",D100)</f>
        <v xml:space="preserve">     </v>
      </c>
      <c r="C46" s="915" t="s">
        <v>671</v>
      </c>
      <c r="D46" s="916"/>
      <c r="E46" s="346">
        <f>E42+E45</f>
        <v>3429973</v>
      </c>
      <c r="G46" s="742"/>
      <c r="H46" s="739"/>
      <c r="I46" s="682"/>
      <c r="J46" s="736"/>
    </row>
    <row r="47" spans="2:11">
      <c r="B47" s="541" t="str">
        <f>CONCATENATE(C101,"     ",D101)</f>
        <v xml:space="preserve">     </v>
      </c>
      <c r="C47" s="358"/>
      <c r="D47" s="228" t="s">
        <v>296</v>
      </c>
      <c r="E47" s="119">
        <f>IF(E46-E30&gt;0,E46-E30,0)</f>
        <v>353911</v>
      </c>
      <c r="G47" s="740">
        <f>C42</f>
        <v>2691015</v>
      </c>
      <c r="H47" s="739" t="str">
        <f>CONCATENATE("Less ",E1-2," Expenditures")</f>
        <v>Less 2012 Expenditures</v>
      </c>
      <c r="I47" s="682"/>
      <c r="J47" s="736"/>
    </row>
    <row r="48" spans="2:11">
      <c r="B48" s="228"/>
      <c r="C48" s="493" t="s">
        <v>672</v>
      </c>
      <c r="D48" s="759">
        <f>inputOth!$E$58</f>
        <v>5.2630999999999997E-2</v>
      </c>
      <c r="E48" s="346">
        <f>ROUND(IF(D48&gt;0,(E47*D48),0),0)</f>
        <v>18627</v>
      </c>
      <c r="G48" s="743">
        <f>SUM(G45-G47)</f>
        <v>738958</v>
      </c>
      <c r="H48" s="744" t="str">
        <f>CONCATENATE("Projected ",E1+1," carryover (est.)")</f>
        <v>Projected 2015 carryover (est.)</v>
      </c>
      <c r="I48" s="708"/>
      <c r="J48" s="745"/>
    </row>
    <row r="49" spans="1:10" ht="16.5" thickBot="1">
      <c r="B49" s="84"/>
      <c r="C49" s="911" t="str">
        <f>CONCATENATE("Amount of  ",$E$1-1," Ad Valorem Tax")</f>
        <v>Amount of  2013 Ad Valorem Tax</v>
      </c>
      <c r="D49" s="912"/>
      <c r="E49" s="367">
        <f>E47+E48</f>
        <v>372538</v>
      </c>
    </row>
    <row r="50" spans="1:10" ht="16.5" thickTop="1">
      <c r="B50" s="84"/>
      <c r="C50" s="438"/>
      <c r="D50" s="84"/>
      <c r="E50" s="84"/>
      <c r="G50" s="922" t="s">
        <v>892</v>
      </c>
      <c r="H50" s="923"/>
      <c r="I50" s="923"/>
      <c r="J50" s="924"/>
    </row>
    <row r="51" spans="1:10">
      <c r="B51"/>
      <c r="C51"/>
      <c r="D51"/>
      <c r="E51"/>
      <c r="G51" s="709"/>
      <c r="H51" s="710"/>
      <c r="I51" s="711"/>
      <c r="J51" s="712"/>
    </row>
    <row r="52" spans="1:10">
      <c r="B52" s="84"/>
      <c r="C52" s="798"/>
      <c r="D52" s="84"/>
      <c r="E52" s="84"/>
      <c r="G52" s="713">
        <f>summ!H14</f>
        <v>5.6806000000000001</v>
      </c>
      <c r="H52" s="710" t="str">
        <f>CONCATENATE("",E1," Fund Mill Rate")</f>
        <v>2014 Fund Mill Rate</v>
      </c>
      <c r="I52" s="711"/>
      <c r="J52" s="712"/>
    </row>
    <row r="53" spans="1:10">
      <c r="B53" s="800" t="s">
        <v>1095</v>
      </c>
      <c r="C53" s="297">
        <v>9</v>
      </c>
      <c r="D53" s="84"/>
      <c r="E53" s="84"/>
      <c r="G53" s="714">
        <f>summ!E14</f>
        <v>7.1269999999999998</v>
      </c>
      <c r="H53" s="710" t="str">
        <f>CONCATENATE("",E1-1," Fund Mill Rate")</f>
        <v>2013 Fund Mill Rate</v>
      </c>
      <c r="I53" s="711"/>
      <c r="J53" s="712"/>
    </row>
    <row r="54" spans="1:10">
      <c r="A54" s="80" t="s">
        <v>260</v>
      </c>
      <c r="B54" t="s">
        <v>260</v>
      </c>
      <c r="C54"/>
      <c r="D54" t="s">
        <v>260</v>
      </c>
      <c r="E54" t="s">
        <v>260</v>
      </c>
      <c r="G54" s="715">
        <f>summ!H45</f>
        <v>33.604999999999997</v>
      </c>
      <c r="H54" s="710" t="str">
        <f>CONCATENATE("Total ",E1," Mill Rate")</f>
        <v>Total 2014 Mill Rate</v>
      </c>
      <c r="I54" s="711"/>
      <c r="J54" s="712"/>
    </row>
    <row r="55" spans="1:10">
      <c r="B55"/>
      <c r="C55"/>
      <c r="D55"/>
      <c r="E55"/>
      <c r="G55" s="714">
        <f>summ!E45</f>
        <v>30.605</v>
      </c>
      <c r="H55" s="716" t="str">
        <f>CONCATENATE("Total ",E1-1," Mill Rate")</f>
        <v>Total 2013 Mill Rate</v>
      </c>
      <c r="I55" s="717"/>
      <c r="J55" s="718"/>
    </row>
    <row r="56" spans="1:10">
      <c r="B56"/>
      <c r="C56"/>
      <c r="D56"/>
      <c r="E56"/>
    </row>
    <row r="57" spans="1:10">
      <c r="B57"/>
      <c r="C57"/>
      <c r="D57"/>
      <c r="E57"/>
      <c r="G57" s="784" t="s">
        <v>976</v>
      </c>
      <c r="H57" s="783"/>
      <c r="I57" s="782" t="str">
        <f>cert!G50</f>
        <v>Yes</v>
      </c>
    </row>
    <row r="58" spans="1:10">
      <c r="B58"/>
      <c r="C58"/>
      <c r="D58"/>
      <c r="E58"/>
    </row>
    <row r="59" spans="1:10">
      <c r="B59"/>
      <c r="C59"/>
      <c r="D59"/>
      <c r="E59"/>
    </row>
    <row r="60" spans="1:10">
      <c r="B60"/>
      <c r="C60"/>
      <c r="D60"/>
      <c r="E60"/>
    </row>
    <row r="61" spans="1:10">
      <c r="B61"/>
      <c r="C61"/>
      <c r="D61"/>
      <c r="E61"/>
    </row>
    <row r="62" spans="1:10">
      <c r="B62"/>
      <c r="C62"/>
      <c r="D62"/>
      <c r="E62"/>
    </row>
    <row r="63" spans="1:10">
      <c r="B63"/>
      <c r="C63"/>
      <c r="D63"/>
      <c r="E63"/>
    </row>
    <row r="64" spans="1:10">
      <c r="B64"/>
      <c r="C64"/>
      <c r="D64"/>
      <c r="E64"/>
    </row>
    <row r="65" spans="2:10">
      <c r="B65"/>
      <c r="C65"/>
      <c r="D65"/>
      <c r="E65"/>
    </row>
    <row r="66" spans="2:10">
      <c r="B66"/>
      <c r="C66"/>
      <c r="D66"/>
      <c r="E66"/>
    </row>
    <row r="67" spans="2:10">
      <c r="B67"/>
      <c r="C67"/>
      <c r="D67"/>
      <c r="E67"/>
    </row>
    <row r="68" spans="2:10">
      <c r="B68"/>
      <c r="C68"/>
      <c r="D68"/>
      <c r="E68"/>
    </row>
    <row r="69" spans="2:10">
      <c r="B69"/>
      <c r="C69"/>
      <c r="D69"/>
      <c r="E69"/>
    </row>
    <row r="70" spans="2:10">
      <c r="B70"/>
      <c r="C70"/>
      <c r="D70"/>
      <c r="E70"/>
    </row>
    <row r="71" spans="2:10">
      <c r="B71"/>
      <c r="C71"/>
      <c r="D71"/>
      <c r="E71"/>
    </row>
    <row r="72" spans="2:10">
      <c r="B72"/>
      <c r="C72"/>
      <c r="D72"/>
      <c r="E72"/>
    </row>
    <row r="73" spans="2:10">
      <c r="B73"/>
      <c r="C73"/>
      <c r="D73"/>
      <c r="E73"/>
      <c r="G73"/>
      <c r="H73"/>
      <c r="I73"/>
      <c r="J73"/>
    </row>
    <row r="74" spans="2:10">
      <c r="B74"/>
      <c r="C74"/>
      <c r="D74"/>
      <c r="E74"/>
      <c r="G74"/>
      <c r="H74"/>
      <c r="I74"/>
      <c r="J74"/>
    </row>
    <row r="75" spans="2:10">
      <c r="B75"/>
      <c r="C75"/>
      <c r="D75"/>
      <c r="E75"/>
      <c r="G75"/>
      <c r="H75"/>
      <c r="I75"/>
      <c r="J75"/>
    </row>
    <row r="76" spans="2:10">
      <c r="B76"/>
      <c r="C76"/>
      <c r="D76"/>
      <c r="E76"/>
      <c r="G76"/>
      <c r="H76"/>
      <c r="I76"/>
      <c r="J76"/>
    </row>
    <row r="77" spans="2:10">
      <c r="B77"/>
      <c r="C77"/>
      <c r="D77"/>
      <c r="E77"/>
      <c r="G77"/>
      <c r="H77"/>
      <c r="I77"/>
      <c r="J77"/>
    </row>
    <row r="78" spans="2:10">
      <c r="B78"/>
      <c r="C78"/>
      <c r="D78"/>
      <c r="E78"/>
      <c r="G78"/>
      <c r="H78"/>
      <c r="I78"/>
      <c r="J78"/>
    </row>
    <row r="79" spans="2:10">
      <c r="B79"/>
      <c r="C79"/>
      <c r="D79"/>
      <c r="E79"/>
      <c r="G79"/>
      <c r="H79"/>
      <c r="I79"/>
      <c r="J79"/>
    </row>
    <row r="80" spans="2:10">
      <c r="B80"/>
      <c r="C80"/>
      <c r="D80"/>
      <c r="E80"/>
      <c r="G80"/>
      <c r="H80"/>
      <c r="I80"/>
      <c r="J80"/>
    </row>
    <row r="81" spans="1:11">
      <c r="B81"/>
      <c r="C81"/>
      <c r="D81"/>
      <c r="E81"/>
      <c r="G81"/>
      <c r="H81"/>
      <c r="I81"/>
      <c r="J81"/>
    </row>
    <row r="82" spans="1:11">
      <c r="B82"/>
      <c r="C82"/>
      <c r="D82"/>
      <c r="E82"/>
      <c r="G82"/>
      <c r="H82"/>
      <c r="I82"/>
      <c r="J82"/>
    </row>
    <row r="83" spans="1:11">
      <c r="B83"/>
      <c r="C83"/>
      <c r="D83"/>
      <c r="E83"/>
      <c r="G83"/>
      <c r="H83"/>
      <c r="I83"/>
      <c r="J83"/>
    </row>
    <row r="84" spans="1:11">
      <c r="B84"/>
      <c r="C84"/>
      <c r="D84"/>
      <c r="E84"/>
      <c r="F84" s="365"/>
      <c r="G84"/>
      <c r="H84"/>
      <c r="I84"/>
      <c r="J84"/>
      <c r="K84" s="741" t="str">
        <f>IF(G84=E89,"","Note: Does not include Delinquent Taxes")</f>
        <v/>
      </c>
    </row>
    <row r="85" spans="1:11">
      <c r="B85"/>
      <c r="C85"/>
      <c r="D85"/>
      <c r="E85"/>
      <c r="F85" s="775" t="str">
        <f>IF(E82/0.95-E82&lt;E85,"Exceeds 5%","")</f>
        <v/>
      </c>
      <c r="G85"/>
      <c r="H85"/>
      <c r="I85"/>
      <c r="J85"/>
    </row>
    <row r="86" spans="1:11">
      <c r="B86"/>
      <c r="C86"/>
      <c r="D86"/>
      <c r="E86"/>
      <c r="G86"/>
      <c r="H86"/>
      <c r="I86"/>
      <c r="J86"/>
    </row>
    <row r="87" spans="1:11">
      <c r="B87"/>
      <c r="C87"/>
      <c r="D87"/>
      <c r="E87"/>
      <c r="G87"/>
      <c r="H87"/>
      <c r="I87"/>
      <c r="J87"/>
    </row>
    <row r="88" spans="1:11">
      <c r="B88"/>
      <c r="C88"/>
      <c r="D88"/>
      <c r="E88"/>
      <c r="G88"/>
      <c r="H88"/>
      <c r="I88"/>
      <c r="J88"/>
    </row>
    <row r="89" spans="1:11">
      <c r="A89"/>
      <c r="B89"/>
      <c r="C89"/>
      <c r="D89"/>
      <c r="E89"/>
      <c r="F89" t="s">
        <v>260</v>
      </c>
      <c r="G89"/>
      <c r="H89"/>
      <c r="I89"/>
      <c r="J89"/>
    </row>
    <row r="90" spans="1:11">
      <c r="A90"/>
      <c r="B90"/>
      <c r="C90"/>
      <c r="D90"/>
      <c r="E90"/>
      <c r="F90"/>
      <c r="G90"/>
      <c r="H90"/>
      <c r="I90"/>
      <c r="J90"/>
    </row>
    <row r="91" spans="1:11">
      <c r="A91"/>
      <c r="B91"/>
      <c r="C91"/>
      <c r="D91"/>
      <c r="E91"/>
      <c r="F91"/>
      <c r="G91"/>
      <c r="H91"/>
      <c r="I91"/>
      <c r="J91"/>
    </row>
    <row r="92" spans="1:11">
      <c r="G92"/>
      <c r="H92"/>
      <c r="I92"/>
      <c r="J92"/>
    </row>
    <row r="93" spans="1:11">
      <c r="G93"/>
      <c r="H93"/>
      <c r="I93"/>
      <c r="J93"/>
    </row>
    <row r="94" spans="1:11">
      <c r="G94"/>
      <c r="H94"/>
      <c r="I94"/>
      <c r="J94"/>
    </row>
    <row r="95" spans="1:11">
      <c r="G95"/>
      <c r="H95"/>
      <c r="I95"/>
      <c r="J95"/>
    </row>
    <row r="96" spans="1:11">
      <c r="G96"/>
      <c r="H96"/>
      <c r="I96"/>
      <c r="J96"/>
    </row>
    <row r="97" spans="3:10">
      <c r="G97"/>
      <c r="H97"/>
      <c r="I97"/>
      <c r="J97"/>
    </row>
    <row r="98" spans="3:10">
      <c r="G98"/>
      <c r="H98"/>
      <c r="I98"/>
      <c r="J98"/>
    </row>
    <row r="100" spans="3:10" hidden="1">
      <c r="C100" s="80" t="str">
        <f>IF(C42&gt;C44,"See Tab A","")</f>
        <v/>
      </c>
      <c r="D100" s="80" t="str">
        <f>IF(D42&gt;D44,"See Tab C","")</f>
        <v/>
      </c>
    </row>
    <row r="101" spans="3:10" hidden="1">
      <c r="C101" s="80" t="str">
        <f>IF(C43&lt;0,"See Tab B","")</f>
        <v/>
      </c>
      <c r="D101" s="80" t="str">
        <f>IF(D43&lt;0,"See Tab D","")</f>
        <v/>
      </c>
    </row>
    <row r="102" spans="3:10" hidden="1">
      <c r="C102" s="80" t="str">
        <f>IF(C82&gt;C84,"See Tab A","")</f>
        <v/>
      </c>
      <c r="D102" s="80" t="str">
        <f>IF(D82&gt;D84,"See Tab C","")</f>
        <v/>
      </c>
    </row>
    <row r="103" spans="3:10" hidden="1">
      <c r="C103" s="80" t="str">
        <f>IF(C83&lt;0,"See Tab B","")</f>
        <v/>
      </c>
      <c r="D103" s="80" t="str">
        <f>IF(D83&lt;0,"See Tab D","")</f>
        <v/>
      </c>
    </row>
  </sheetData>
  <mergeCells count="6">
    <mergeCell ref="G33:J33"/>
    <mergeCell ref="G40:J40"/>
    <mergeCell ref="G50:J50"/>
    <mergeCell ref="C45:D45"/>
    <mergeCell ref="C46:D46"/>
    <mergeCell ref="C49:D49"/>
  </mergeCells>
  <phoneticPr fontId="9" type="noConversion"/>
  <conditionalFormatting sqref="E40">
    <cfRule type="cellIs" dxfId="290" priority="13" stopIfTrue="1" operator="greaterThan">
      <formula>$E$42*0.1</formula>
    </cfRule>
  </conditionalFormatting>
  <conditionalFormatting sqref="E45">
    <cfRule type="cellIs" dxfId="289" priority="14" stopIfTrue="1" operator="greaterThan">
      <formula>$E$42/0.95-$E$42</formula>
    </cfRule>
  </conditionalFormatting>
  <conditionalFormatting sqref="D27">
    <cfRule type="cellIs" dxfId="288" priority="15" stopIfTrue="1" operator="greaterThan">
      <formula>$D$29*0.1</formula>
    </cfRule>
  </conditionalFormatting>
  <conditionalFormatting sqref="C27">
    <cfRule type="cellIs" dxfId="287" priority="16" stopIfTrue="1" operator="greaterThan">
      <formula>$C$29*0.1</formula>
    </cfRule>
  </conditionalFormatting>
  <conditionalFormatting sqref="D40">
    <cfRule type="cellIs" dxfId="286" priority="17" stopIfTrue="1" operator="greaterThan">
      <formula>$D$42*0.1</formula>
    </cfRule>
  </conditionalFormatting>
  <conditionalFormatting sqref="D42">
    <cfRule type="cellIs" dxfId="285" priority="18" stopIfTrue="1" operator="greaterThan">
      <formula>$D$44</formula>
    </cfRule>
  </conditionalFormatting>
  <conditionalFormatting sqref="C40">
    <cfRule type="cellIs" dxfId="284" priority="19" stopIfTrue="1" operator="greaterThan">
      <formula>$C$42*0.1</formula>
    </cfRule>
  </conditionalFormatting>
  <conditionalFormatting sqref="C42">
    <cfRule type="cellIs" dxfId="283" priority="20" stopIfTrue="1" operator="greaterThan">
      <formula>$C$44</formula>
    </cfRule>
  </conditionalFormatting>
  <conditionalFormatting sqref="C43">
    <cfRule type="cellIs" dxfId="282" priority="21" stopIfTrue="1" operator="lessThan">
      <formula>0</formula>
    </cfRule>
  </conditionalFormatting>
  <conditionalFormatting sqref="D43">
    <cfRule type="cellIs" dxfId="281" priority="12" stopIfTrue="1" operator="lessThan">
      <formula>0</formula>
    </cfRule>
  </conditionalFormatting>
  <conditionalFormatting sqref="E27">
    <cfRule type="cellIs" dxfId="280" priority="25" stopIfTrue="1" operator="greaterThan">
      <formula>$E$29*0.1+$E$49</formula>
    </cfRule>
  </conditionalFormatting>
  <pageMargins left="0.75" right="0.75" top="0.5" bottom="0.5" header="0.25" footer="0.5"/>
  <pageSetup scale="80" orientation="portrait" blackAndWhite="1" r:id="rId1"/>
  <headerFooter alignWithMargins="0">
    <oddHeader>&amp;RState of Kansas
City</oddHeader>
  </headerFooter>
</worksheet>
</file>

<file path=xl/worksheets/sheet16.xml><?xml version="1.0" encoding="utf-8"?>
<worksheet xmlns="http://schemas.openxmlformats.org/spreadsheetml/2006/main" xmlns:r="http://schemas.openxmlformats.org/officeDocument/2006/relationships">
  <dimension ref="B1:K94"/>
  <sheetViews>
    <sheetView workbookViewId="0">
      <selection activeCell="C39" sqref="C39:D39"/>
    </sheetView>
  </sheetViews>
  <sheetFormatPr defaultColWidth="8.88671875" defaultRowHeight="15.75"/>
  <cols>
    <col min="1" max="1" width="2.44140625" style="80" customWidth="1"/>
    <col min="2" max="2" width="31.109375" style="80" customWidth="1"/>
    <col min="3" max="4" width="15.77734375" style="80" customWidth="1"/>
    <col min="5" max="5" width="16.21875" style="80" customWidth="1"/>
    <col min="6" max="6" width="8.109375" style="80" customWidth="1"/>
    <col min="7" max="7" width="10.21875" style="80" customWidth="1"/>
    <col min="8" max="8" width="8.88671875" style="80"/>
    <col min="9" max="9" width="5" style="80" customWidth="1"/>
    <col min="10" max="10" width="10" style="80" customWidth="1"/>
    <col min="11" max="16384" width="8.88671875" style="80"/>
  </cols>
  <sheetData>
    <row r="1" spans="2:5">
      <c r="B1" s="253" t="str">
        <f>inputPrYr!D3</f>
        <v>City of Bonner Springs</v>
      </c>
      <c r="C1" s="84"/>
      <c r="D1" s="84"/>
      <c r="E1" s="341">
        <f>inputPrYr!$C$10</f>
        <v>2014</v>
      </c>
    </row>
    <row r="2" spans="2:5">
      <c r="B2" s="84"/>
      <c r="C2" s="84"/>
      <c r="D2" s="84"/>
      <c r="E2" s="228"/>
    </row>
    <row r="3" spans="2:5">
      <c r="B3" s="497" t="s">
        <v>6</v>
      </c>
      <c r="C3" s="260"/>
      <c r="D3" s="260"/>
      <c r="E3" s="368"/>
    </row>
    <row r="4" spans="2:5">
      <c r="B4" s="91"/>
      <c r="C4" s="291"/>
      <c r="D4" s="291"/>
      <c r="E4" s="291"/>
    </row>
    <row r="5" spans="2:5">
      <c r="B5" s="91" t="s">
        <v>282</v>
      </c>
      <c r="C5" s="614" t="s">
        <v>806</v>
      </c>
      <c r="D5" s="615" t="s">
        <v>809</v>
      </c>
      <c r="E5" s="204" t="s">
        <v>808</v>
      </c>
    </row>
    <row r="6" spans="2:5">
      <c r="B6" s="560" t="str">
        <f>inputPrYr!B24</f>
        <v>Library</v>
      </c>
      <c r="C6" s="440" t="s">
        <v>1052</v>
      </c>
      <c r="D6" s="440" t="s">
        <v>1053</v>
      </c>
      <c r="E6" s="268" t="s">
        <v>1054</v>
      </c>
    </row>
    <row r="7" spans="2:5">
      <c r="B7" s="360" t="s">
        <v>57</v>
      </c>
      <c r="C7" s="432">
        <v>0</v>
      </c>
      <c r="D7" s="437">
        <f>C36</f>
        <v>0</v>
      </c>
      <c r="E7" s="346">
        <f>D36</f>
        <v>0</v>
      </c>
    </row>
    <row r="8" spans="2:5">
      <c r="B8" s="360" t="s">
        <v>59</v>
      </c>
      <c r="C8" s="218"/>
      <c r="D8" s="218"/>
      <c r="E8" s="124"/>
    </row>
    <row r="9" spans="2:5">
      <c r="B9" s="167" t="s">
        <v>283</v>
      </c>
      <c r="C9" s="432">
        <v>285277</v>
      </c>
      <c r="D9" s="437">
        <v>310919</v>
      </c>
      <c r="E9" s="364" t="s">
        <v>272</v>
      </c>
    </row>
    <row r="10" spans="2:5">
      <c r="B10" s="167" t="s">
        <v>284</v>
      </c>
      <c r="C10" s="432">
        <v>14577</v>
      </c>
      <c r="D10" s="432">
        <v>0</v>
      </c>
      <c r="E10" s="106">
        <v>0</v>
      </c>
    </row>
    <row r="11" spans="2:5">
      <c r="B11" s="167" t="s">
        <v>285</v>
      </c>
      <c r="C11" s="432">
        <v>34467</v>
      </c>
      <c r="D11" s="432">
        <v>37018</v>
      </c>
      <c r="E11" s="346">
        <f>mvalloc!D10</f>
        <v>39152</v>
      </c>
    </row>
    <row r="12" spans="2:5">
      <c r="B12" s="167" t="s">
        <v>286</v>
      </c>
      <c r="C12" s="432">
        <v>236</v>
      </c>
      <c r="D12" s="432">
        <v>249</v>
      </c>
      <c r="E12" s="346">
        <f>mvalloc!E10</f>
        <v>250</v>
      </c>
    </row>
    <row r="13" spans="2:5">
      <c r="B13" s="218" t="s">
        <v>38</v>
      </c>
      <c r="C13" s="432">
        <v>285</v>
      </c>
      <c r="D13" s="432">
        <v>362</v>
      </c>
      <c r="E13" s="346">
        <f>mvalloc!F10</f>
        <v>260</v>
      </c>
    </row>
    <row r="14" spans="2:5">
      <c r="B14" s="348" t="s">
        <v>1109</v>
      </c>
      <c r="C14" s="432">
        <v>8797</v>
      </c>
      <c r="D14" s="432">
        <v>10151</v>
      </c>
      <c r="E14" s="106">
        <v>10278</v>
      </c>
    </row>
    <row r="15" spans="2:5">
      <c r="B15" s="348" t="s">
        <v>1157</v>
      </c>
      <c r="C15" s="432">
        <v>-9321</v>
      </c>
      <c r="D15" s="432">
        <v>9583</v>
      </c>
      <c r="E15" s="106">
        <v>0</v>
      </c>
    </row>
    <row r="16" spans="2:5">
      <c r="B16" s="348" t="s">
        <v>181</v>
      </c>
      <c r="C16" s="432">
        <v>0</v>
      </c>
      <c r="D16" s="432">
        <v>-19951</v>
      </c>
      <c r="E16" s="106">
        <v>-18402</v>
      </c>
    </row>
    <row r="17" spans="2:10">
      <c r="B17" s="348" t="s">
        <v>182</v>
      </c>
      <c r="C17" s="432">
        <v>0</v>
      </c>
      <c r="D17" s="432">
        <v>15000</v>
      </c>
      <c r="E17" s="106">
        <v>20000</v>
      </c>
    </row>
    <row r="18" spans="2:10">
      <c r="B18" s="348"/>
      <c r="C18" s="432"/>
      <c r="D18" s="432"/>
      <c r="E18" s="106"/>
    </row>
    <row r="19" spans="2:10">
      <c r="B19" s="362" t="s">
        <v>260</v>
      </c>
      <c r="C19" s="432"/>
      <c r="D19" s="432"/>
      <c r="E19" s="106"/>
    </row>
    <row r="20" spans="2:10">
      <c r="B20" s="352" t="s">
        <v>182</v>
      </c>
      <c r="C20" s="432"/>
      <c r="D20" s="432"/>
      <c r="E20" s="106"/>
    </row>
    <row r="21" spans="2:10">
      <c r="B21" s="352" t="s">
        <v>668</v>
      </c>
      <c r="C21" s="433" t="str">
        <f>IF(C22*0.1&lt;C20,"Exceed 10% Rule","")</f>
        <v/>
      </c>
      <c r="D21" s="433" t="str">
        <f>IF(D22*0.1&lt;D20,"Exceed 10% Rule","")</f>
        <v/>
      </c>
      <c r="E21" s="375" t="str">
        <f>IF(E22*0.1+E42&lt;E20,"Exceed 10% Rule","")</f>
        <v/>
      </c>
    </row>
    <row r="22" spans="2:10">
      <c r="B22" s="354" t="s">
        <v>288</v>
      </c>
      <c r="C22" s="436">
        <f>SUM(C9:C20)</f>
        <v>334318</v>
      </c>
      <c r="D22" s="436">
        <f>SUM(D9:D20)</f>
        <v>363331</v>
      </c>
      <c r="E22" s="356">
        <f>SUM(E9:E20)</f>
        <v>51538</v>
      </c>
    </row>
    <row r="23" spans="2:10">
      <c r="B23" s="354" t="s">
        <v>289</v>
      </c>
      <c r="C23" s="436">
        <f>C7+C22</f>
        <v>334318</v>
      </c>
      <c r="D23" s="436">
        <f>D7+D22</f>
        <v>363331</v>
      </c>
      <c r="E23" s="356">
        <f>E7+E22</f>
        <v>51538</v>
      </c>
    </row>
    <row r="24" spans="2:10">
      <c r="B24" s="167" t="s">
        <v>291</v>
      </c>
      <c r="C24" s="352"/>
      <c r="D24" s="352"/>
      <c r="E24" s="105"/>
      <c r="G24" s="925" t="str">
        <f>CONCATENATE("Desired Carryover Into ",E1+1,"")</f>
        <v>Desired Carryover Into 2015</v>
      </c>
      <c r="H24" s="920"/>
      <c r="I24" s="920"/>
      <c r="J24" s="921"/>
    </row>
    <row r="25" spans="2:10">
      <c r="B25" s="348" t="s">
        <v>1158</v>
      </c>
      <c r="C25" s="432">
        <v>334318</v>
      </c>
      <c r="D25" s="432">
        <v>348331</v>
      </c>
      <c r="E25" s="106">
        <v>352748</v>
      </c>
      <c r="G25" s="725"/>
      <c r="H25" s="491"/>
      <c r="I25" s="726"/>
      <c r="J25" s="727"/>
    </row>
    <row r="26" spans="2:10">
      <c r="B26" s="348"/>
      <c r="C26" s="432"/>
      <c r="D26" s="432"/>
      <c r="E26" s="106"/>
      <c r="G26" s="728" t="s">
        <v>673</v>
      </c>
      <c r="H26" s="726"/>
      <c r="I26" s="726"/>
      <c r="J26" s="729">
        <v>0</v>
      </c>
    </row>
    <row r="27" spans="2:10">
      <c r="B27" s="348"/>
      <c r="C27" s="432"/>
      <c r="D27" s="432"/>
      <c r="E27" s="106"/>
      <c r="G27" s="725" t="s">
        <v>674</v>
      </c>
      <c r="H27" s="491"/>
      <c r="I27" s="491"/>
      <c r="J27" s="730" t="str">
        <f>IF(J26=0,"",ROUND((J26+#REF!-G39)/inputOth!B14*1000,3)-G44)</f>
        <v/>
      </c>
    </row>
    <row r="28" spans="2:10">
      <c r="B28" s="348"/>
      <c r="C28" s="432"/>
      <c r="D28" s="432"/>
      <c r="E28" s="106"/>
      <c r="G28" s="731" t="str">
        <f>CONCATENATE("",E1," Tot Exp/Non-Appr Must Be:")</f>
        <v>2014 Tot Exp/Non-Appr Must Be:</v>
      </c>
      <c r="H28" s="732"/>
      <c r="I28" s="733"/>
      <c r="J28" s="734">
        <f>IF(J26&gt;0,IF(#REF!&lt;#REF!,IF(J26=G39,#REF!,((J26-G39)*(1-#REF!))+#REF!),#REF!+(J26-G39)),0)</f>
        <v>0</v>
      </c>
    </row>
    <row r="29" spans="2:10">
      <c r="B29" s="348"/>
      <c r="C29" s="432"/>
      <c r="D29" s="432"/>
      <c r="E29" s="106"/>
      <c r="G29" s="695" t="s">
        <v>891</v>
      </c>
      <c r="H29" s="735"/>
      <c r="I29" s="735"/>
      <c r="J29" s="697">
        <f>IF(J26&gt;0,J28-#REF!,0)</f>
        <v>0</v>
      </c>
    </row>
    <row r="30" spans="2:10">
      <c r="B30" s="348"/>
      <c r="C30" s="432"/>
      <c r="D30" s="432"/>
      <c r="E30" s="106"/>
    </row>
    <row r="31" spans="2:10">
      <c r="B31" s="348"/>
      <c r="C31" s="432"/>
      <c r="D31" s="432"/>
      <c r="E31" s="106"/>
      <c r="G31" s="926" t="str">
        <f>CONCATENATE("Projected Carryover Into ",E1+1,"")</f>
        <v>Projected Carryover Into 2015</v>
      </c>
      <c r="H31" s="927"/>
      <c r="I31" s="927"/>
      <c r="J31" s="921"/>
    </row>
    <row r="32" spans="2:10">
      <c r="B32" s="352" t="s">
        <v>181</v>
      </c>
      <c r="C32" s="432"/>
      <c r="D32" s="432"/>
      <c r="E32" s="119" t="str">
        <f>nhood!E8</f>
        <v/>
      </c>
      <c r="G32" s="681"/>
      <c r="H32" s="682"/>
      <c r="I32" s="682"/>
      <c r="J32" s="736"/>
    </row>
    <row r="33" spans="2:11">
      <c r="B33" s="352" t="s">
        <v>182</v>
      </c>
      <c r="C33" s="432">
        <v>0</v>
      </c>
      <c r="D33" s="432">
        <v>15000</v>
      </c>
      <c r="E33" s="106">
        <v>20000</v>
      </c>
      <c r="G33" s="737">
        <f>D36</f>
        <v>0</v>
      </c>
      <c r="H33" s="738" t="str">
        <f>CONCATENATE("",E1-1," Ending Cash Balance (est.)")</f>
        <v>2013 Ending Cash Balance (est.)</v>
      </c>
      <c r="I33" s="683"/>
      <c r="J33" s="736"/>
    </row>
    <row r="34" spans="2:11">
      <c r="B34" s="352" t="s">
        <v>667</v>
      </c>
      <c r="C34" s="433" t="str">
        <f>IF(C35*0.1&lt;C33,"Exceed 10% Rule","")</f>
        <v/>
      </c>
      <c r="D34" s="433" t="str">
        <f>IF(D35*0.1&lt;D33,"Exceed 10% Rule","")</f>
        <v/>
      </c>
      <c r="E34" s="375" t="str">
        <f>IF(E35*0.1&lt;E33,"Exceed 10% Rule","")</f>
        <v/>
      </c>
      <c r="G34" s="737">
        <f>E22</f>
        <v>51538</v>
      </c>
      <c r="H34" s="739" t="str">
        <f>CONCATENATE("",E1," Non-AV Receipts (est.)")</f>
        <v>2014 Non-AV Receipts (est.)</v>
      </c>
      <c r="I34" s="682"/>
      <c r="J34" s="736"/>
    </row>
    <row r="35" spans="2:11">
      <c r="B35" s="366" t="s">
        <v>295</v>
      </c>
      <c r="C35" s="436">
        <f>SUM(C25:C33)</f>
        <v>334318</v>
      </c>
      <c r="D35" s="436">
        <f>SUM(D25:D33)</f>
        <v>363331</v>
      </c>
      <c r="E35" s="356">
        <f>SUM(E25:E33)</f>
        <v>372748</v>
      </c>
      <c r="F35" s="365"/>
      <c r="G35" s="740">
        <f>IF(E40&gt;0,E39,E42)</f>
        <v>372748</v>
      </c>
      <c r="H35" s="739" t="str">
        <f>CONCATENATE("",E1," Ad Valorem Tax (est.)")</f>
        <v>2014 Ad Valorem Tax (est.)</v>
      </c>
      <c r="I35" s="682"/>
      <c r="J35" s="736"/>
      <c r="K35" s="741" t="e">
        <f>IF(G35=#REF!,"","Note: Does not include Delinquent Taxes")</f>
        <v>#REF!</v>
      </c>
    </row>
    <row r="36" spans="2:11">
      <c r="B36" s="167" t="s">
        <v>58</v>
      </c>
      <c r="C36" s="434">
        <f>C23-C35</f>
        <v>0</v>
      </c>
      <c r="D36" s="434">
        <f>D23-D35</f>
        <v>0</v>
      </c>
      <c r="E36" s="364" t="s">
        <v>272</v>
      </c>
      <c r="F36" s="703" t="e">
        <f>IF(#REF!/0.95-#REF!&lt;#REF!,"Exceeds 5%","")</f>
        <v>#REF!</v>
      </c>
      <c r="G36" s="737">
        <f>SUM(G33:G35)</f>
        <v>424286</v>
      </c>
      <c r="H36" s="739" t="str">
        <f>CONCATENATE("Total ",E1," Resources Available")</f>
        <v>Total 2014 Resources Available</v>
      </c>
      <c r="I36" s="683"/>
      <c r="J36" s="736"/>
    </row>
    <row r="37" spans="2:11">
      <c r="B37" s="800" t="str">
        <f>CONCATENATE("",E1-2,"/",E1-1," Budget Authority Amount:")</f>
        <v>2012/2013 Budget Authority Amount:</v>
      </c>
      <c r="C37" s="303">
        <f>inputOth!B75</f>
        <v>339257</v>
      </c>
      <c r="D37" s="303">
        <f>inputPrYr!D24</f>
        <v>363331</v>
      </c>
      <c r="E37" s="364" t="s">
        <v>272</v>
      </c>
      <c r="G37" s="742"/>
      <c r="H37" s="739"/>
      <c r="I37" s="682"/>
      <c r="J37" s="736"/>
    </row>
    <row r="38" spans="2:11">
      <c r="B38" s="800"/>
      <c r="C38" s="913" t="s">
        <v>670</v>
      </c>
      <c r="D38" s="914"/>
      <c r="E38" s="106">
        <v>0</v>
      </c>
      <c r="G38" s="740">
        <f>C35</f>
        <v>334318</v>
      </c>
      <c r="H38" s="739" t="str">
        <f>CONCATENATE("Less ",E1-2," Expenditures")</f>
        <v>Less 2012 Expenditures</v>
      </c>
      <c r="I38" s="682"/>
      <c r="J38" s="736"/>
    </row>
    <row r="39" spans="2:11">
      <c r="B39" s="541" t="str">
        <f>CONCATENATE(C93,"     ",D93)</f>
        <v xml:space="preserve">     </v>
      </c>
      <c r="C39" s="915" t="s">
        <v>671</v>
      </c>
      <c r="D39" s="916"/>
      <c r="E39" s="346">
        <f>E35+E38</f>
        <v>372748</v>
      </c>
      <c r="G39" s="743">
        <f>SUM(G36-G38)</f>
        <v>89968</v>
      </c>
      <c r="H39" s="744" t="str">
        <f>CONCATENATE("Projected ",E1+1," carryover (est.)")</f>
        <v>Projected 2015 carryover (est.)</v>
      </c>
      <c r="I39" s="708"/>
      <c r="J39" s="745"/>
    </row>
    <row r="40" spans="2:11">
      <c r="B40" s="541" t="str">
        <f>CONCATENATE(C94,"     ",D94)</f>
        <v xml:space="preserve">     </v>
      </c>
      <c r="C40" s="358"/>
      <c r="D40" s="228" t="s">
        <v>296</v>
      </c>
      <c r="E40" s="119">
        <f>IF(E39-E23&gt;0,E39-E23,0)</f>
        <v>321210</v>
      </c>
    </row>
    <row r="41" spans="2:11">
      <c r="B41" s="228"/>
      <c r="C41" s="799" t="s">
        <v>672</v>
      </c>
      <c r="D41" s="759">
        <f>inputOth!$E$58</f>
        <v>5.2630999999999997E-2</v>
      </c>
      <c r="E41" s="346">
        <f>ROUND(IF(D41&gt;0,(E40*D41),0),0)</f>
        <v>16906</v>
      </c>
      <c r="G41" s="922" t="s">
        <v>892</v>
      </c>
      <c r="H41" s="923"/>
      <c r="I41" s="923"/>
      <c r="J41" s="924"/>
    </row>
    <row r="42" spans="2:11" ht="16.5" thickBot="1">
      <c r="B42" s="84"/>
      <c r="C42" s="911" t="str">
        <f>CONCATENATE("Amount of  ",$E$1-1," Ad Valorem Tax")</f>
        <v>Amount of  2013 Ad Valorem Tax</v>
      </c>
      <c r="D42" s="912"/>
      <c r="E42" s="367">
        <f>E40+E41</f>
        <v>338116</v>
      </c>
      <c r="G42" s="709"/>
      <c r="H42" s="710"/>
      <c r="I42" s="711"/>
      <c r="J42" s="712"/>
    </row>
    <row r="43" spans="2:11" ht="16.5" thickTop="1">
      <c r="B43" s="84"/>
      <c r="C43" s="798"/>
      <c r="D43" s="84"/>
      <c r="E43" s="84"/>
      <c r="G43" s="713">
        <f>summ!H15</f>
        <v>5.1558000000000002</v>
      </c>
      <c r="H43" s="710" t="str">
        <f>CONCATENATE("",E1," Fund Mill Rate")</f>
        <v>2014 Fund Mill Rate</v>
      </c>
      <c r="I43" s="711"/>
      <c r="J43" s="712"/>
    </row>
    <row r="44" spans="2:11">
      <c r="B44" s="800" t="s">
        <v>298</v>
      </c>
      <c r="C44" s="297">
        <v>10</v>
      </c>
      <c r="D44" s="84"/>
      <c r="E44" s="84"/>
      <c r="G44" s="714">
        <f>summ!E15</f>
        <v>4.9450000000000003</v>
      </c>
      <c r="H44" s="710" t="str">
        <f>CONCATENATE("",E1-1," Fund Mill Rate")</f>
        <v>2013 Fund Mill Rate</v>
      </c>
      <c r="I44" s="711"/>
      <c r="J44" s="712"/>
    </row>
    <row r="45" spans="2:11">
      <c r="G45" s="715">
        <f>summ!H45</f>
        <v>33.604999999999997</v>
      </c>
      <c r="H45" s="710" t="str">
        <f>CONCATENATE("Total ",E1," Mill Rate")</f>
        <v>Total 2014 Mill Rate</v>
      </c>
      <c r="I45" s="711"/>
      <c r="J45" s="712"/>
    </row>
    <row r="46" spans="2:11">
      <c r="G46" s="714">
        <f>summ!E45</f>
        <v>30.605</v>
      </c>
      <c r="H46" s="716" t="str">
        <f>CONCATENATE("Total ",E1-1," Mill Rate")</f>
        <v>Total 2013 Mill Rate</v>
      </c>
      <c r="I46" s="717"/>
      <c r="J46" s="718"/>
    </row>
    <row r="48" spans="2:11">
      <c r="G48" s="787" t="s">
        <v>976</v>
      </c>
      <c r="H48" s="786"/>
      <c r="I48" s="785" t="str">
        <f>cert!G50</f>
        <v>Yes</v>
      </c>
    </row>
    <row r="64" spans="7:10">
      <c r="G64" s="925" t="str">
        <f>CONCATENATE("Desired Carryover Into ",E1+1,"")</f>
        <v>Desired Carryover Into 2015</v>
      </c>
      <c r="H64" s="920"/>
      <c r="I64" s="920"/>
      <c r="J64" s="921"/>
    </row>
    <row r="65" spans="6:11">
      <c r="G65" s="725"/>
      <c r="H65" s="491"/>
      <c r="I65" s="726"/>
      <c r="J65" s="727"/>
    </row>
    <row r="66" spans="6:11">
      <c r="G66" s="728" t="s">
        <v>673</v>
      </c>
      <c r="H66" s="726"/>
      <c r="I66" s="726"/>
      <c r="J66" s="729">
        <v>0</v>
      </c>
    </row>
    <row r="67" spans="6:11">
      <c r="G67" s="725" t="s">
        <v>674</v>
      </c>
      <c r="H67" s="491"/>
      <c r="I67" s="491"/>
      <c r="J67" s="746" t="str">
        <f>IF(J66=0,"",ROUND((J66+E42-G79)/inputOth!B14*1000,3)-G84)</f>
        <v/>
      </c>
    </row>
    <row r="68" spans="6:11">
      <c r="G68" s="731" t="str">
        <f>CONCATENATE("",E1," Tot Exp/Non-Appr Must Be:")</f>
        <v>2014 Tot Exp/Non-Appr Must Be:</v>
      </c>
      <c r="H68" s="732"/>
      <c r="I68" s="733"/>
      <c r="J68" s="734">
        <f>IF(J66&gt;0,IF(E39&lt;E23,IF(J66=G79,E39,((J66-G79)*(1-D41))+E23),E39+(J66-G79)),0)</f>
        <v>0</v>
      </c>
    </row>
    <row r="69" spans="6:11">
      <c r="G69" s="695" t="s">
        <v>891</v>
      </c>
      <c r="H69" s="735"/>
      <c r="I69" s="735"/>
      <c r="J69" s="697">
        <f>IF(J66&gt;0,J68-E39,0)</f>
        <v>0</v>
      </c>
    </row>
    <row r="70" spans="6:11">
      <c r="J70" s="3"/>
    </row>
    <row r="71" spans="6:11">
      <c r="G71" s="925" t="str">
        <f>CONCATENATE("Projected Carryover Into ",E1+1,"")</f>
        <v>Projected Carryover Into 2015</v>
      </c>
      <c r="H71" s="928"/>
      <c r="I71" s="928"/>
      <c r="J71" s="929"/>
    </row>
    <row r="72" spans="6:11">
      <c r="G72" s="492"/>
      <c r="H72" s="491"/>
      <c r="I72" s="491"/>
      <c r="J72" s="490"/>
    </row>
    <row r="73" spans="6:11">
      <c r="G73" s="747">
        <f>D36</f>
        <v>0</v>
      </c>
      <c r="H73" s="710" t="str">
        <f>CONCATENATE("",E1-1," Ending Cash Balance (est.)")</f>
        <v>2013 Ending Cash Balance (est.)</v>
      </c>
      <c r="I73" s="748"/>
      <c r="J73" s="490"/>
    </row>
    <row r="74" spans="6:11">
      <c r="G74" s="747">
        <f>E22</f>
        <v>51538</v>
      </c>
      <c r="H74" s="726" t="str">
        <f>CONCATENATE("",E1," Non-AV Receipts (est.)")</f>
        <v>2014 Non-AV Receipts (est.)</v>
      </c>
      <c r="I74" s="748"/>
      <c r="J74" s="490"/>
    </row>
    <row r="75" spans="6:11">
      <c r="F75" s="365"/>
      <c r="G75" s="749">
        <f>IF(D41&gt;0,E40,E42)</f>
        <v>321210</v>
      </c>
      <c r="H75" s="726" t="str">
        <f>CONCATENATE("",E1," Ad Valorem Tax (est.)")</f>
        <v>2014 Ad Valorem Tax (est.)</v>
      </c>
      <c r="I75" s="748"/>
      <c r="J75" s="490"/>
      <c r="K75" s="741" t="str">
        <f>IF(G75=E42,"","Note: Does not include Delinquent Taxes")</f>
        <v>Note: Does not include Delinquent Taxes</v>
      </c>
    </row>
    <row r="76" spans="6:11">
      <c r="F76" s="775" t="str">
        <f>IF(E35/0.95-E35&lt;E38,"Exceeds 5%","")</f>
        <v/>
      </c>
      <c r="G76" s="518">
        <f>SUM(G73:G75)</f>
        <v>372748</v>
      </c>
      <c r="H76" s="726" t="str">
        <f>CONCATENATE("Total ",E1," Resources Available")</f>
        <v>Total 2014 Resources Available</v>
      </c>
      <c r="I76" s="490"/>
      <c r="J76" s="490"/>
    </row>
    <row r="77" spans="6:11">
      <c r="G77" s="515"/>
      <c r="H77" s="517"/>
      <c r="I77" s="491"/>
      <c r="J77" s="490"/>
    </row>
    <row r="78" spans="6:11">
      <c r="G78" s="516">
        <f>ROUND(C35*0.05+C35,0)</f>
        <v>351034</v>
      </c>
      <c r="H78" s="517" t="str">
        <f>CONCATENATE("Less ",E1-2," Expenditures + 5%")</f>
        <v>Less 2012 Expenditures + 5%</v>
      </c>
      <c r="I78" s="490"/>
      <c r="J78" s="490"/>
    </row>
    <row r="79" spans="6:11">
      <c r="G79" s="514">
        <f>G76-G78</f>
        <v>21714</v>
      </c>
      <c r="H79" s="513" t="str">
        <f>CONCATENATE("Projected ",E1+1," carryover (est.)")</f>
        <v>Projected 2015 carryover (est.)</v>
      </c>
      <c r="I79" s="489"/>
      <c r="J79" s="750"/>
    </row>
    <row r="80" spans="6:11">
      <c r="F80" s="760" t="str">
        <f>IF('Library Grant '!F33="","",IF('Library Grant '!F33="Qualify","Qualifies for State Library Grant","See 'Library Grant' tab"))</f>
        <v>Qualifies for State Library Grant</v>
      </c>
      <c r="G80" s="3"/>
      <c r="H80" s="3"/>
      <c r="I80" s="3"/>
    </row>
    <row r="81" spans="3:10">
      <c r="G81" s="922" t="s">
        <v>892</v>
      </c>
      <c r="H81" s="923"/>
      <c r="I81" s="923"/>
      <c r="J81" s="924"/>
    </row>
    <row r="82" spans="3:10">
      <c r="G82" s="709"/>
      <c r="H82" s="710"/>
      <c r="I82" s="711"/>
      <c r="J82" s="712"/>
    </row>
    <row r="83" spans="3:10">
      <c r="G83" s="713">
        <f>summ!H15</f>
        <v>5.1558000000000002</v>
      </c>
      <c r="H83" s="710" t="str">
        <f>CONCATENATE("",E1," Fund Mill Rate")</f>
        <v>2014 Fund Mill Rate</v>
      </c>
      <c r="I83" s="711"/>
      <c r="J83" s="712"/>
    </row>
    <row r="84" spans="3:10">
      <c r="G84" s="714">
        <f>summ!E15</f>
        <v>4.9450000000000003</v>
      </c>
      <c r="H84" s="710" t="str">
        <f>CONCATENATE("",E1-1," Fund Mill Rate")</f>
        <v>2013 Fund Mill Rate</v>
      </c>
      <c r="I84" s="711"/>
      <c r="J84" s="712"/>
    </row>
    <row r="85" spans="3:10">
      <c r="G85" s="715">
        <f>summ!H45</f>
        <v>33.604999999999997</v>
      </c>
      <c r="H85" s="710" t="str">
        <f>CONCATENATE("Total ",E1," Mill Rate")</f>
        <v>Total 2014 Mill Rate</v>
      </c>
      <c r="I85" s="711"/>
      <c r="J85" s="712"/>
    </row>
    <row r="86" spans="3:10">
      <c r="G86" s="714">
        <f>summ!E45</f>
        <v>30.605</v>
      </c>
      <c r="H86" s="716" t="str">
        <f>CONCATENATE("Total ",E1-1," Mill Rate")</f>
        <v>Total 2013 Mill Rate</v>
      </c>
      <c r="I86" s="717"/>
      <c r="J86" s="718"/>
    </row>
    <row r="88" spans="3:10">
      <c r="G88" s="787" t="s">
        <v>976</v>
      </c>
      <c r="H88" s="786"/>
      <c r="I88" s="785" t="str">
        <f>cert!G50</f>
        <v>Yes</v>
      </c>
    </row>
    <row r="91" spans="3:10">
      <c r="C91" s="80" t="e">
        <f>IF(#REF!&gt;#REF!,"See Tab A","")</f>
        <v>#REF!</v>
      </c>
      <c r="D91" s="80" t="e">
        <f>IF(#REF!&gt;#REF!,"See Tab C","")</f>
        <v>#REF!</v>
      </c>
    </row>
    <row r="92" spans="3:10">
      <c r="C92" s="80" t="e">
        <f>IF(#REF!&lt;0,"See Tab B","")</f>
        <v>#REF!</v>
      </c>
      <c r="D92" s="80" t="e">
        <f>IF(#REF!&lt;0,"See Tab D","")</f>
        <v>#REF!</v>
      </c>
    </row>
    <row r="93" spans="3:10">
      <c r="C93" s="80" t="str">
        <f>IF(C35&gt;C37,"See Tab A","")</f>
        <v/>
      </c>
      <c r="D93" s="80" t="str">
        <f>IF(D35&gt;D37,"See Tab C","")</f>
        <v/>
      </c>
    </row>
    <row r="94" spans="3:10">
      <c r="C94" s="80" t="str">
        <f>IF(C36&lt;0,"See Tab B","")</f>
        <v/>
      </c>
      <c r="D94" s="80" t="str">
        <f>IF(D36&lt;0,"See Tab D","")</f>
        <v/>
      </c>
    </row>
  </sheetData>
  <mergeCells count="9">
    <mergeCell ref="C38:D38"/>
    <mergeCell ref="C39:D39"/>
    <mergeCell ref="C42:D42"/>
    <mergeCell ref="G81:J81"/>
    <mergeCell ref="G24:J24"/>
    <mergeCell ref="G31:J31"/>
    <mergeCell ref="G41:J41"/>
    <mergeCell ref="G64:J64"/>
    <mergeCell ref="G71:J71"/>
  </mergeCells>
  <conditionalFormatting sqref="E33">
    <cfRule type="cellIs" dxfId="279" priority="11" stopIfTrue="1" operator="greaterThan">
      <formula>$E$35*0.1</formula>
    </cfRule>
  </conditionalFormatting>
  <conditionalFormatting sqref="E38">
    <cfRule type="cellIs" dxfId="278" priority="10" stopIfTrue="1" operator="greaterThan">
      <formula>$E$35/0.95-$E$35</formula>
    </cfRule>
  </conditionalFormatting>
  <conditionalFormatting sqref="D33">
    <cfRule type="cellIs" dxfId="277" priority="9" stopIfTrue="1" operator="greaterThan">
      <formula>$D$35*0.1</formula>
    </cfRule>
  </conditionalFormatting>
  <conditionalFormatting sqref="C33">
    <cfRule type="cellIs" dxfId="276" priority="8" stopIfTrue="1" operator="greaterThan">
      <formula>$C$35*0.1</formula>
    </cfRule>
  </conditionalFormatting>
  <conditionalFormatting sqref="D35">
    <cfRule type="cellIs" dxfId="275" priority="7" stopIfTrue="1" operator="greaterThan">
      <formula>$D$37</formula>
    </cfRule>
  </conditionalFormatting>
  <conditionalFormatting sqref="C35">
    <cfRule type="cellIs" dxfId="274" priority="6" stopIfTrue="1" operator="greaterThan">
      <formula>$C$37</formula>
    </cfRule>
  </conditionalFormatting>
  <conditionalFormatting sqref="C36">
    <cfRule type="cellIs" dxfId="273" priority="5" stopIfTrue="1" operator="lessThan">
      <formula>0</formula>
    </cfRule>
  </conditionalFormatting>
  <conditionalFormatting sqref="D20">
    <cfRule type="cellIs" dxfId="272" priority="4" stopIfTrue="1" operator="greaterThan">
      <formula>$D$22*0.1</formula>
    </cfRule>
  </conditionalFormatting>
  <conditionalFormatting sqref="C20">
    <cfRule type="cellIs" dxfId="271" priority="3" stopIfTrue="1" operator="greaterThan">
      <formula>$C$22*0.1</formula>
    </cfRule>
  </conditionalFormatting>
  <conditionalFormatting sqref="E20">
    <cfRule type="cellIs" dxfId="270" priority="2" stopIfTrue="1" operator="greaterThan">
      <formula>$E$22*0.1+$E$42</formula>
    </cfRule>
  </conditionalFormatting>
  <conditionalFormatting sqref="D36">
    <cfRule type="cellIs" dxfId="269" priority="1" stopIfTrue="1" operator="lessThan">
      <formula>0</formula>
    </cfRule>
  </conditionalFormatting>
  <pageMargins left="0.45" right="0.45" top="0.5" bottom="0.5" header="0.3" footer="0.3"/>
  <pageSetup scale="90" orientation="portrait" r:id="rId1"/>
</worksheet>
</file>

<file path=xl/worksheets/sheet17.xml><?xml version="1.0" encoding="utf-8"?>
<worksheet xmlns="http://schemas.openxmlformats.org/spreadsheetml/2006/main" xmlns:r="http://schemas.openxmlformats.org/officeDocument/2006/relationships">
  <sheetPr>
    <pageSetUpPr fitToPage="1"/>
  </sheetPr>
  <dimension ref="B1:E69"/>
  <sheetViews>
    <sheetView workbookViewId="0">
      <selection activeCell="B62" sqref="B62"/>
    </sheetView>
  </sheetViews>
  <sheetFormatPr defaultColWidth="8.88671875" defaultRowHeight="15.75"/>
  <cols>
    <col min="1" max="1" width="2.44140625" style="80" customWidth="1"/>
    <col min="2" max="2" width="31.109375" style="80" customWidth="1"/>
    <col min="3" max="4" width="15.77734375" style="80" customWidth="1"/>
    <col min="5" max="5" width="16.21875" style="80" customWidth="1"/>
    <col min="6" max="16384" width="8.88671875" style="80"/>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(inputPrYr!B29)</f>
        <v>Spec. Rev. Aquatic Park Facility Sales Tax</v>
      </c>
      <c r="C5" s="440" t="str">
        <f>CONCATENATE("Actual for ",E1-2,"")</f>
        <v>Actual for 2012</v>
      </c>
      <c r="D5" s="440" t="str">
        <f>CONCATENATE("Estimate for ",E1-1,"")</f>
        <v>Estimate for 2013</v>
      </c>
      <c r="E5" s="268" t="str">
        <f>CONCATENATE("Year for ",E1,"")</f>
        <v>Year for 2014</v>
      </c>
    </row>
    <row r="6" spans="2:5">
      <c r="B6" s="360" t="s">
        <v>57</v>
      </c>
      <c r="C6" s="106">
        <v>830340</v>
      </c>
      <c r="D6" s="346">
        <f>C31</f>
        <v>838683</v>
      </c>
      <c r="E6" s="346">
        <f>D31</f>
        <v>841715</v>
      </c>
    </row>
    <row r="7" spans="2:5">
      <c r="B7" s="361" t="s">
        <v>59</v>
      </c>
      <c r="C7" s="124"/>
      <c r="D7" s="124"/>
      <c r="E7" s="124"/>
    </row>
    <row r="8" spans="2:5">
      <c r="B8" s="348" t="s">
        <v>1124</v>
      </c>
      <c r="C8" s="106">
        <v>448393</v>
      </c>
      <c r="D8" s="106">
        <v>443000</v>
      </c>
      <c r="E8" s="106">
        <v>84000</v>
      </c>
    </row>
    <row r="9" spans="2:5">
      <c r="B9" s="348" t="s">
        <v>331</v>
      </c>
      <c r="C9" s="106">
        <v>2118</v>
      </c>
      <c r="D9" s="106">
        <v>2000</v>
      </c>
      <c r="E9" s="106">
        <v>350</v>
      </c>
    </row>
    <row r="10" spans="2:5">
      <c r="B10" s="348"/>
      <c r="C10" s="106"/>
      <c r="D10" s="106"/>
      <c r="E10" s="106"/>
    </row>
    <row r="11" spans="2:5">
      <c r="B11" s="348"/>
      <c r="C11" s="106"/>
      <c r="D11" s="106"/>
      <c r="E11" s="106"/>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450511</v>
      </c>
      <c r="D16" s="356">
        <f>SUM(D8:D14)</f>
        <v>445000</v>
      </c>
      <c r="E16" s="356">
        <f>SUM(E8:E14)</f>
        <v>84350</v>
      </c>
    </row>
    <row r="17" spans="2:5">
      <c r="B17" s="354" t="s">
        <v>289</v>
      </c>
      <c r="C17" s="356">
        <f>C6+C16</f>
        <v>1280851</v>
      </c>
      <c r="D17" s="356">
        <f>D6+D16</f>
        <v>1283683</v>
      </c>
      <c r="E17" s="356">
        <f>E6+E16</f>
        <v>926065</v>
      </c>
    </row>
    <row r="18" spans="2:5">
      <c r="B18" s="167" t="s">
        <v>291</v>
      </c>
      <c r="C18" s="346"/>
      <c r="D18" s="346"/>
      <c r="E18" s="346"/>
    </row>
    <row r="19" spans="2:5">
      <c r="B19" s="348" t="s">
        <v>1071</v>
      </c>
      <c r="C19" s="106">
        <v>0</v>
      </c>
      <c r="D19" s="106">
        <v>0</v>
      </c>
      <c r="E19" s="106">
        <v>33771</v>
      </c>
    </row>
    <row r="20" spans="2:5">
      <c r="B20" s="348" t="s">
        <v>1126</v>
      </c>
      <c r="C20" s="106">
        <v>442168</v>
      </c>
      <c r="D20" s="106">
        <v>441968</v>
      </c>
      <c r="E20" s="106">
        <v>892294</v>
      </c>
    </row>
    <row r="21" spans="2:5">
      <c r="B21" s="348"/>
      <c r="C21" s="106"/>
      <c r="D21" s="106"/>
      <c r="E21" s="106"/>
    </row>
    <row r="22" spans="2:5">
      <c r="B22" s="348"/>
      <c r="C22" s="106"/>
      <c r="D22" s="106"/>
      <c r="E22" s="106"/>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442168</v>
      </c>
      <c r="D30" s="356">
        <f>SUM(D19:D28)</f>
        <v>441968</v>
      </c>
      <c r="E30" s="356">
        <f>SUM(E19:E28)</f>
        <v>926065</v>
      </c>
    </row>
    <row r="31" spans="2:5">
      <c r="B31" s="167" t="s">
        <v>58</v>
      </c>
      <c r="C31" s="119">
        <f>C17-C30</f>
        <v>838683</v>
      </c>
      <c r="D31" s="119">
        <f>D17-D30</f>
        <v>841715</v>
      </c>
      <c r="E31" s="119">
        <f>E17-E30</f>
        <v>0</v>
      </c>
    </row>
    <row r="32" spans="2:5">
      <c r="B32" s="197" t="str">
        <f>CONCATENATE("",E1-2,"/",E1-1," Budget Authority Amount:")</f>
        <v>2012/2013 Budget Authority Amount:</v>
      </c>
      <c r="C32" s="303">
        <f>inputOth!B76</f>
        <v>442169</v>
      </c>
      <c r="D32" s="303">
        <f>inputPrYr!D29</f>
        <v>1252821</v>
      </c>
      <c r="E32" s="547" t="str">
        <f>IF(E31&lt;0,"See Tab E","")</f>
        <v/>
      </c>
    </row>
    <row r="33" spans="2:5">
      <c r="B33" s="197"/>
      <c r="C33" s="358" t="str">
        <f>IF(C30&gt;C32,"See Tab A","")</f>
        <v/>
      </c>
      <c r="D33" s="358" t="str">
        <f>IF(D30&gt;D32,"See Tab C","")</f>
        <v/>
      </c>
      <c r="E33" s="136"/>
    </row>
    <row r="34" spans="2:5">
      <c r="B34" s="1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(inputPrYr!B30)</f>
        <v>Spec. Rev. County Infrastructure</v>
      </c>
      <c r="C38" s="359" t="str">
        <f>C5</f>
        <v>Actual for 2012</v>
      </c>
      <c r="D38" s="359" t="str">
        <f>D5</f>
        <v>Estimate for 2013</v>
      </c>
      <c r="E38" s="359" t="str">
        <f>E5</f>
        <v>Year for 2014</v>
      </c>
    </row>
    <row r="39" spans="2:5">
      <c r="B39" s="360" t="s">
        <v>57</v>
      </c>
      <c r="C39" s="106">
        <v>26053</v>
      </c>
      <c r="D39" s="346">
        <f>C64</f>
        <v>1315</v>
      </c>
      <c r="E39" s="346">
        <f>D64</f>
        <v>1315</v>
      </c>
    </row>
    <row r="40" spans="2:5">
      <c r="B40" s="361" t="s">
        <v>59</v>
      </c>
      <c r="C40" s="124"/>
      <c r="D40" s="124"/>
      <c r="E40" s="124"/>
    </row>
    <row r="41" spans="2:5">
      <c r="B41" s="348" t="s">
        <v>331</v>
      </c>
      <c r="C41" s="106">
        <v>45</v>
      </c>
      <c r="D41" s="106">
        <v>0</v>
      </c>
      <c r="E41" s="106">
        <v>0</v>
      </c>
    </row>
    <row r="42" spans="2:5">
      <c r="B42" s="348"/>
      <c r="C42" s="106"/>
      <c r="D42" s="106"/>
      <c r="E42" s="106"/>
    </row>
    <row r="43" spans="2:5">
      <c r="B43" s="348"/>
      <c r="C43" s="106"/>
      <c r="D43" s="106"/>
      <c r="E43" s="106"/>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45</v>
      </c>
      <c r="D49" s="356">
        <f>SUM(D41:D47)</f>
        <v>0</v>
      </c>
      <c r="E49" s="356">
        <f>SUM(E41:E47)</f>
        <v>0</v>
      </c>
    </row>
    <row r="50" spans="2:5">
      <c r="B50" s="354" t="s">
        <v>289</v>
      </c>
      <c r="C50" s="356">
        <f>C39+C49</f>
        <v>26098</v>
      </c>
      <c r="D50" s="356">
        <f>D39+D49</f>
        <v>1315</v>
      </c>
      <c r="E50" s="356">
        <f>E39+E49</f>
        <v>1315</v>
      </c>
    </row>
    <row r="51" spans="2:5">
      <c r="B51" s="167" t="s">
        <v>291</v>
      </c>
      <c r="C51" s="346"/>
      <c r="D51" s="346"/>
      <c r="E51" s="346"/>
    </row>
    <row r="52" spans="2:5">
      <c r="B52" s="348" t="s">
        <v>1136</v>
      </c>
      <c r="C52" s="106">
        <v>24783</v>
      </c>
      <c r="D52" s="106">
        <v>0</v>
      </c>
      <c r="E52" s="106">
        <v>0</v>
      </c>
    </row>
    <row r="53" spans="2:5">
      <c r="B53" s="348" t="s">
        <v>1204</v>
      </c>
      <c r="C53" s="106">
        <v>0</v>
      </c>
      <c r="D53" s="106">
        <v>0</v>
      </c>
      <c r="E53" s="106">
        <v>1315</v>
      </c>
    </row>
    <row r="54" spans="2:5">
      <c r="B54" s="348"/>
      <c r="C54" s="106"/>
      <c r="D54" s="106"/>
      <c r="E54" s="106"/>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354" t="s">
        <v>295</v>
      </c>
      <c r="C63" s="356">
        <f>SUM(C52:C61)</f>
        <v>24783</v>
      </c>
      <c r="D63" s="356">
        <f>SUM(D52:D61)</f>
        <v>0</v>
      </c>
      <c r="E63" s="356">
        <f>SUM(E52:E61)</f>
        <v>1315</v>
      </c>
    </row>
    <row r="64" spans="2:5">
      <c r="B64" s="167" t="s">
        <v>58</v>
      </c>
      <c r="C64" s="119">
        <f>C50-C63</f>
        <v>1315</v>
      </c>
      <c r="D64" s="119">
        <f>D50-D63</f>
        <v>1315</v>
      </c>
      <c r="E64" s="119">
        <f>E50-E63</f>
        <v>0</v>
      </c>
    </row>
    <row r="65" spans="2:5">
      <c r="B65" s="197" t="str">
        <f>CONCATENATE("",E1-2,"/",E1-1," Budget Authority Amount:")</f>
        <v>2012/2013 Budget Authority Amount:</v>
      </c>
      <c r="C65" s="303">
        <f>inputOth!B77</f>
        <v>26134</v>
      </c>
      <c r="D65" s="303">
        <f>inputPrYr!D30</f>
        <v>0</v>
      </c>
      <c r="E65" s="547" t="str">
        <f>IF(E64&lt;0,"See Tab E","")</f>
        <v/>
      </c>
    </row>
    <row r="66" spans="2:5">
      <c r="B66" s="197"/>
      <c r="C66" s="358" t="str">
        <f>IF(C63&gt;C65,"See Tab A","")</f>
        <v/>
      </c>
      <c r="D66" s="358" t="str">
        <f>IF(D63&gt;D65,"See Tab C","")</f>
        <v/>
      </c>
      <c r="E66" s="84"/>
    </row>
    <row r="67" spans="2:5">
      <c r="B67" s="197"/>
      <c r="C67" s="358" t="str">
        <f>IF(C64&lt;0,"See Tab B","")</f>
        <v/>
      </c>
      <c r="D67" s="358" t="str">
        <f>IF(D64&lt;0,"See Tab D","")</f>
        <v/>
      </c>
      <c r="E67" s="84"/>
    </row>
    <row r="68" spans="2:5">
      <c r="B68" s="84"/>
      <c r="C68" s="84"/>
      <c r="D68" s="84"/>
      <c r="E68" s="84"/>
    </row>
    <row r="69" spans="2:5">
      <c r="B69" s="197" t="s">
        <v>298</v>
      </c>
      <c r="C69" s="297">
        <v>11</v>
      </c>
      <c r="D69" s="84"/>
      <c r="E69" s="84"/>
    </row>
  </sheetData>
  <phoneticPr fontId="0" type="noConversion"/>
  <conditionalFormatting sqref="C47">
    <cfRule type="cellIs" dxfId="268" priority="3" stopIfTrue="1" operator="greaterThan">
      <formula>$C$49*0.1</formula>
    </cfRule>
  </conditionalFormatting>
  <conditionalFormatting sqref="D47">
    <cfRule type="cellIs" dxfId="267" priority="4" stopIfTrue="1" operator="greaterThan">
      <formula>$D$49*0.1</formula>
    </cfRule>
  </conditionalFormatting>
  <conditionalFormatting sqref="E47">
    <cfRule type="cellIs" dxfId="266" priority="5" stopIfTrue="1" operator="greaterThan">
      <formula>$E$49*0.1</formula>
    </cfRule>
  </conditionalFormatting>
  <conditionalFormatting sqref="C61">
    <cfRule type="cellIs" dxfId="265" priority="6" stopIfTrue="1" operator="greaterThan">
      <formula>$C$63*0.1</formula>
    </cfRule>
  </conditionalFormatting>
  <conditionalFormatting sqref="D61">
    <cfRule type="cellIs" dxfId="264" priority="7" stopIfTrue="1" operator="greaterThan">
      <formula>$D$63*0.1</formula>
    </cfRule>
  </conditionalFormatting>
  <conditionalFormatting sqref="E61">
    <cfRule type="cellIs" dxfId="263" priority="8" stopIfTrue="1" operator="greaterThan">
      <formula>$E$63*0.1</formula>
    </cfRule>
  </conditionalFormatting>
  <conditionalFormatting sqref="C28">
    <cfRule type="cellIs" dxfId="262" priority="9" stopIfTrue="1" operator="greaterThan">
      <formula>$C$30*0.1</formula>
    </cfRule>
  </conditionalFormatting>
  <conditionalFormatting sqref="D28">
    <cfRule type="cellIs" dxfId="261" priority="10" stopIfTrue="1" operator="greaterThan">
      <formula>$D$30*0.1</formula>
    </cfRule>
  </conditionalFormatting>
  <conditionalFormatting sqref="E28">
    <cfRule type="cellIs" dxfId="260" priority="11" stopIfTrue="1" operator="greaterThan">
      <formula>$E$30*0.1</formula>
    </cfRule>
  </conditionalFormatting>
  <conditionalFormatting sqref="C14">
    <cfRule type="cellIs" dxfId="259" priority="12" stopIfTrue="1" operator="greaterThan">
      <formula>$C$16*0.1</formula>
    </cfRule>
  </conditionalFormatting>
  <conditionalFormatting sqref="D14">
    <cfRule type="cellIs" dxfId="258" priority="13" stopIfTrue="1" operator="greaterThan">
      <formula>$D$16*0.1</formula>
    </cfRule>
  </conditionalFormatting>
  <conditionalFormatting sqref="E14">
    <cfRule type="cellIs" dxfId="257" priority="14" stopIfTrue="1" operator="greaterThan">
      <formula>$E$16*0.1</formula>
    </cfRule>
  </conditionalFormatting>
  <conditionalFormatting sqref="E64 C64 E31 C31">
    <cfRule type="cellIs" dxfId="256" priority="15" stopIfTrue="1" operator="lessThan">
      <formula>0</formula>
    </cfRule>
  </conditionalFormatting>
  <conditionalFormatting sqref="D63">
    <cfRule type="cellIs" dxfId="255" priority="16" stopIfTrue="1" operator="greaterThan">
      <formula>$D$65</formula>
    </cfRule>
  </conditionalFormatting>
  <conditionalFormatting sqref="C63">
    <cfRule type="cellIs" dxfId="254" priority="17" stopIfTrue="1" operator="greaterThan">
      <formula>$C$65</formula>
    </cfRule>
  </conditionalFormatting>
  <conditionalFormatting sqref="D30">
    <cfRule type="cellIs" dxfId="253" priority="18" stopIfTrue="1" operator="greaterThan">
      <formula>$D$32</formula>
    </cfRule>
  </conditionalFormatting>
  <conditionalFormatting sqref="C30">
    <cfRule type="cellIs" dxfId="252" priority="19" stopIfTrue="1" operator="greaterThan">
      <formula>$C$32</formula>
    </cfRule>
  </conditionalFormatting>
  <conditionalFormatting sqref="D64">
    <cfRule type="cellIs" dxfId="251" priority="2" stopIfTrue="1" operator="lessThan">
      <formula>0</formula>
    </cfRule>
  </conditionalFormatting>
  <conditionalFormatting sqref="D31">
    <cfRule type="cellIs" dxfId="250" priority="1" stopIfTrue="1" operator="lessThan">
      <formula>0</formula>
    </cfRule>
  </conditionalFormatting>
  <pageMargins left="0.5" right="0.5" top="1" bottom="0.5" header="0.5" footer="0.5"/>
  <pageSetup scale="72" orientation="portrait" blackAndWhite="1" horizontalDpi="120" verticalDpi="144" r:id="rId1"/>
  <headerFooter alignWithMargins="0">
    <oddHeader>&amp;RState of Kansas
City</oddHeader>
  </headerFooter>
</worksheet>
</file>

<file path=xl/worksheets/sheet18.xml><?xml version="1.0" encoding="utf-8"?>
<worksheet xmlns="http://schemas.openxmlformats.org/spreadsheetml/2006/main" xmlns:r="http://schemas.openxmlformats.org/officeDocument/2006/relationships">
  <sheetPr>
    <pageSetUpPr fitToPage="1"/>
  </sheetPr>
  <dimension ref="B1:E69"/>
  <sheetViews>
    <sheetView topLeftCell="A48" workbookViewId="0">
      <selection activeCell="B29" sqref="B29"/>
    </sheetView>
  </sheetViews>
  <sheetFormatPr defaultColWidth="8.88671875" defaultRowHeight="15.75"/>
  <cols>
    <col min="1" max="1" width="2.44140625" style="80" customWidth="1"/>
    <col min="2" max="2" width="31.109375" style="80" customWidth="1"/>
    <col min="3" max="4" width="15.77734375" style="80" customWidth="1"/>
    <col min="5" max="5" width="16.109375" style="80" customWidth="1"/>
    <col min="6" max="16384" width="8.88671875" style="80"/>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(inputPrYr!B31)</f>
        <v>Spec. Rev. Convention &amp; Tourism</v>
      </c>
      <c r="C5" s="440" t="str">
        <f>CONCATENATE("Actual for ",E1-2,"")</f>
        <v>Actual for 2012</v>
      </c>
      <c r="D5" s="440" t="str">
        <f>CONCATENATE("Estimate for ",E1-1,"")</f>
        <v>Estimate for 2013</v>
      </c>
      <c r="E5" s="268" t="str">
        <f>CONCATENATE("Year for ",E1,"")</f>
        <v>Year for 2014</v>
      </c>
    </row>
    <row r="6" spans="2:5">
      <c r="B6" s="360" t="s">
        <v>57</v>
      </c>
      <c r="C6" s="106">
        <v>141979</v>
      </c>
      <c r="D6" s="346">
        <f>C31</f>
        <v>156348</v>
      </c>
      <c r="E6" s="346">
        <f>D31</f>
        <v>161602</v>
      </c>
    </row>
    <row r="7" spans="2:5">
      <c r="B7" s="361" t="s">
        <v>59</v>
      </c>
      <c r="C7" s="124"/>
      <c r="D7" s="124"/>
      <c r="E7" s="124"/>
    </row>
    <row r="8" spans="2:5">
      <c r="B8" s="348" t="s">
        <v>1137</v>
      </c>
      <c r="C8" s="106">
        <v>88103</v>
      </c>
      <c r="D8" s="106">
        <v>85000</v>
      </c>
      <c r="E8" s="106">
        <v>85000</v>
      </c>
    </row>
    <row r="9" spans="2:5">
      <c r="B9" s="348" t="s">
        <v>331</v>
      </c>
      <c r="C9" s="106">
        <v>423</v>
      </c>
      <c r="D9" s="106">
        <v>450</v>
      </c>
      <c r="E9" s="106">
        <v>350</v>
      </c>
    </row>
    <row r="10" spans="2:5">
      <c r="B10" s="348" t="s">
        <v>1069</v>
      </c>
      <c r="C10" s="106">
        <v>215</v>
      </c>
      <c r="D10" s="106">
        <v>0</v>
      </c>
      <c r="E10" s="106">
        <v>0</v>
      </c>
    </row>
    <row r="11" spans="2:5">
      <c r="B11" s="348" t="s">
        <v>1138</v>
      </c>
      <c r="C11" s="106">
        <v>687</v>
      </c>
      <c r="D11" s="106">
        <v>0</v>
      </c>
      <c r="E11" s="106">
        <v>0</v>
      </c>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89428</v>
      </c>
      <c r="D16" s="356">
        <f>SUM(D8:D14)</f>
        <v>85450</v>
      </c>
      <c r="E16" s="356">
        <f>SUM(E8:E14)</f>
        <v>85350</v>
      </c>
    </row>
    <row r="17" spans="2:5">
      <c r="B17" s="354" t="s">
        <v>289</v>
      </c>
      <c r="C17" s="356">
        <f>C6+C16</f>
        <v>231407</v>
      </c>
      <c r="D17" s="356">
        <f>D6+D16</f>
        <v>241798</v>
      </c>
      <c r="E17" s="356">
        <f>E6+E16</f>
        <v>246952</v>
      </c>
    </row>
    <row r="18" spans="2:5">
      <c r="B18" s="167" t="s">
        <v>291</v>
      </c>
      <c r="C18" s="346"/>
      <c r="D18" s="346"/>
      <c r="E18" s="346"/>
    </row>
    <row r="19" spans="2:5">
      <c r="B19" s="348" t="s">
        <v>1062</v>
      </c>
      <c r="C19" s="106">
        <v>23505</v>
      </c>
      <c r="D19" s="106">
        <v>23276</v>
      </c>
      <c r="E19" s="106">
        <v>47536</v>
      </c>
    </row>
    <row r="20" spans="2:5">
      <c r="B20" s="348" t="s">
        <v>1071</v>
      </c>
      <c r="C20" s="106">
        <v>48216</v>
      </c>
      <c r="D20" s="106">
        <v>55420</v>
      </c>
      <c r="E20" s="106">
        <v>50630</v>
      </c>
    </row>
    <row r="21" spans="2:5">
      <c r="B21" s="348" t="s">
        <v>1063</v>
      </c>
      <c r="C21" s="106">
        <v>1948</v>
      </c>
      <c r="D21" s="106">
        <v>1500</v>
      </c>
      <c r="E21" s="106">
        <v>1700</v>
      </c>
    </row>
    <row r="22" spans="2:5">
      <c r="B22" s="348" t="s">
        <v>1064</v>
      </c>
      <c r="C22" s="106">
        <v>1390</v>
      </c>
      <c r="D22" s="106">
        <v>0</v>
      </c>
      <c r="E22" s="106">
        <v>3500</v>
      </c>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75059</v>
      </c>
      <c r="D30" s="356">
        <f>SUM(D19:D28)</f>
        <v>80196</v>
      </c>
      <c r="E30" s="356">
        <f>SUM(E19:E28)</f>
        <v>103366</v>
      </c>
    </row>
    <row r="31" spans="2:5">
      <c r="B31" s="167" t="s">
        <v>58</v>
      </c>
      <c r="C31" s="119">
        <f>C17-C30</f>
        <v>156348</v>
      </c>
      <c r="D31" s="119">
        <f>D17-D30</f>
        <v>161602</v>
      </c>
      <c r="E31" s="119">
        <f>E17-E30</f>
        <v>143586</v>
      </c>
    </row>
    <row r="32" spans="2:5">
      <c r="B32" s="197" t="str">
        <f>CONCATENATE("",E1-2,"/",E1-1," Budget Authority Amount:")</f>
        <v>2012/2013 Budget Authority Amount:</v>
      </c>
      <c r="C32" s="303">
        <f>inputOth!B78</f>
        <v>76127</v>
      </c>
      <c r="D32" s="303">
        <f>inputPrYr!D31</f>
        <v>80196</v>
      </c>
      <c r="E32" s="547" t="str">
        <f>IF(E31&lt;0,"See Tab E","")</f>
        <v/>
      </c>
    </row>
    <row r="33" spans="2:5">
      <c r="B33" s="197"/>
      <c r="C33" s="358" t="str">
        <f>IF(C30&gt;C32,"See Tab A","")</f>
        <v/>
      </c>
      <c r="D33" s="358" t="str">
        <f>IF(D30&gt;D32,"See Tab C","")</f>
        <v/>
      </c>
      <c r="E33" s="136"/>
    </row>
    <row r="34" spans="2:5">
      <c r="B34" s="1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(inputPrYr!B32)</f>
        <v>Spec. Rev. Drug &amp; Alcohol</v>
      </c>
      <c r="C38" s="359" t="str">
        <f>C5</f>
        <v>Actual for 2012</v>
      </c>
      <c r="D38" s="359" t="str">
        <f>D5</f>
        <v>Estimate for 2013</v>
      </c>
      <c r="E38" s="359" t="str">
        <f>E5</f>
        <v>Year for 2014</v>
      </c>
    </row>
    <row r="39" spans="2:5">
      <c r="B39" s="360" t="s">
        <v>57</v>
      </c>
      <c r="C39" s="106">
        <v>160173</v>
      </c>
      <c r="D39" s="346">
        <f>C64</f>
        <v>145193</v>
      </c>
      <c r="E39" s="346">
        <f>D64</f>
        <v>111268</v>
      </c>
    </row>
    <row r="40" spans="2:5">
      <c r="B40" s="361" t="s">
        <v>59</v>
      </c>
      <c r="C40" s="124"/>
      <c r="D40" s="124"/>
      <c r="E40" s="124"/>
    </row>
    <row r="41" spans="2:5">
      <c r="B41" s="348" t="s">
        <v>1139</v>
      </c>
      <c r="C41" s="106">
        <v>50560</v>
      </c>
      <c r="D41" s="106">
        <v>45000</v>
      </c>
      <c r="E41" s="106">
        <v>45000</v>
      </c>
    </row>
    <row r="42" spans="2:5">
      <c r="B42" s="348" t="s">
        <v>331</v>
      </c>
      <c r="C42" s="106">
        <v>395</v>
      </c>
      <c r="D42" s="106">
        <v>400</v>
      </c>
      <c r="E42" s="106">
        <v>250</v>
      </c>
    </row>
    <row r="43" spans="2:5">
      <c r="B43" s="348"/>
      <c r="C43" s="106"/>
      <c r="D43" s="106"/>
      <c r="E43" s="106"/>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50955</v>
      </c>
      <c r="D49" s="356">
        <f>SUM(D41:D47)</f>
        <v>45400</v>
      </c>
      <c r="E49" s="356">
        <f>SUM(E41:E47)</f>
        <v>45250</v>
      </c>
    </row>
    <row r="50" spans="2:5">
      <c r="B50" s="354" t="s">
        <v>289</v>
      </c>
      <c r="C50" s="356">
        <f>C39+C49</f>
        <v>211128</v>
      </c>
      <c r="D50" s="356">
        <f>D39+D49</f>
        <v>190593</v>
      </c>
      <c r="E50" s="356">
        <f>E39+E49</f>
        <v>156518</v>
      </c>
    </row>
    <row r="51" spans="2:5">
      <c r="B51" s="167" t="s">
        <v>291</v>
      </c>
      <c r="C51" s="346"/>
      <c r="D51" s="346"/>
      <c r="E51" s="346"/>
    </row>
    <row r="52" spans="2:5">
      <c r="B52" s="348" t="s">
        <v>1140</v>
      </c>
      <c r="C52" s="106">
        <v>13135</v>
      </c>
      <c r="D52" s="106">
        <v>25000</v>
      </c>
      <c r="E52" s="106">
        <v>25000</v>
      </c>
    </row>
    <row r="53" spans="2:5">
      <c r="B53" s="348" t="s">
        <v>1141</v>
      </c>
      <c r="C53" s="106">
        <v>2000</v>
      </c>
      <c r="D53" s="106">
        <v>0</v>
      </c>
      <c r="E53" s="106">
        <v>0</v>
      </c>
    </row>
    <row r="54" spans="2:5">
      <c r="B54" s="348" t="s">
        <v>1142</v>
      </c>
      <c r="C54" s="106">
        <v>50800</v>
      </c>
      <c r="D54" s="106">
        <v>54325</v>
      </c>
      <c r="E54" s="106">
        <v>56250</v>
      </c>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354" t="s">
        <v>295</v>
      </c>
      <c r="C63" s="356">
        <f>SUM(C52:C61)</f>
        <v>65935</v>
      </c>
      <c r="D63" s="356">
        <f>SUM(D52:D61)</f>
        <v>79325</v>
      </c>
      <c r="E63" s="356">
        <f>SUM(E52:E61)</f>
        <v>81250</v>
      </c>
    </row>
    <row r="64" spans="2:5">
      <c r="B64" s="167" t="s">
        <v>58</v>
      </c>
      <c r="C64" s="119">
        <f>C50-C63</f>
        <v>145193</v>
      </c>
      <c r="D64" s="119">
        <f>D50-D63</f>
        <v>111268</v>
      </c>
      <c r="E64" s="119">
        <f>E50-E63</f>
        <v>75268</v>
      </c>
    </row>
    <row r="65" spans="2:5">
      <c r="B65" s="197" t="str">
        <f>CONCATENATE("",E1-2,"/",E1-1," Budget Authority Amount:")</f>
        <v>2012/2013 Budget Authority Amount:</v>
      </c>
      <c r="C65" s="303">
        <f>inputOth!B79</f>
        <v>75800</v>
      </c>
      <c r="D65" s="303">
        <f>inputPrYr!D32</f>
        <v>79325</v>
      </c>
      <c r="E65" s="547" t="str">
        <f>IF(E64&lt;0,"See Tab E","")</f>
        <v/>
      </c>
    </row>
    <row r="66" spans="2:5">
      <c r="B66" s="197"/>
      <c r="C66" s="358" t="str">
        <f>IF(C63&gt;C65,"See Tab A","")</f>
        <v/>
      </c>
      <c r="D66" s="358" t="str">
        <f>IF(D63&gt;D65,"See Tab C","")</f>
        <v/>
      </c>
      <c r="E66" s="84"/>
    </row>
    <row r="67" spans="2:5">
      <c r="B67" s="197"/>
      <c r="C67" s="358" t="str">
        <f>IF(C64&lt;0,"See Tab B","")</f>
        <v/>
      </c>
      <c r="D67" s="358" t="str">
        <f>IF(D64&lt;0,"See Tab D","")</f>
        <v/>
      </c>
      <c r="E67" s="84"/>
    </row>
    <row r="68" spans="2:5">
      <c r="B68" s="84"/>
      <c r="C68" s="84"/>
      <c r="D68" s="84"/>
      <c r="E68" s="84"/>
    </row>
    <row r="69" spans="2:5">
      <c r="B69" s="197" t="s">
        <v>298</v>
      </c>
      <c r="C69" s="297">
        <v>12</v>
      </c>
      <c r="D69" s="84"/>
      <c r="E69" s="84"/>
    </row>
  </sheetData>
  <phoneticPr fontId="0" type="noConversion"/>
  <conditionalFormatting sqref="C47">
    <cfRule type="cellIs" dxfId="249" priority="3" stopIfTrue="1" operator="greaterThan">
      <formula>$C$49*0.1</formula>
    </cfRule>
  </conditionalFormatting>
  <conditionalFormatting sqref="D47">
    <cfRule type="cellIs" dxfId="248" priority="4" stopIfTrue="1" operator="greaterThan">
      <formula>$D$49*0.1</formula>
    </cfRule>
  </conditionalFormatting>
  <conditionalFormatting sqref="E47">
    <cfRule type="cellIs" dxfId="247" priority="5" stopIfTrue="1" operator="greaterThan">
      <formula>$E$49*0.1</formula>
    </cfRule>
  </conditionalFormatting>
  <conditionalFormatting sqref="C61">
    <cfRule type="cellIs" dxfId="246" priority="6" stopIfTrue="1" operator="greaterThan">
      <formula>$C$63*0.1</formula>
    </cfRule>
  </conditionalFormatting>
  <conditionalFormatting sqref="D61">
    <cfRule type="cellIs" dxfId="245" priority="7" stopIfTrue="1" operator="greaterThan">
      <formula>$D$63*0.1</formula>
    </cfRule>
  </conditionalFormatting>
  <conditionalFormatting sqref="E61">
    <cfRule type="cellIs" dxfId="244" priority="8" stopIfTrue="1" operator="greaterThan">
      <formula>$E$63*0.1</formula>
    </cfRule>
  </conditionalFormatting>
  <conditionalFormatting sqref="C28">
    <cfRule type="cellIs" dxfId="243" priority="9" stopIfTrue="1" operator="greaterThan">
      <formula>$C$30*0.1</formula>
    </cfRule>
  </conditionalFormatting>
  <conditionalFormatting sqref="D28">
    <cfRule type="cellIs" dxfId="242" priority="10" stopIfTrue="1" operator="greaterThan">
      <formula>$D$30*0.1</formula>
    </cfRule>
  </conditionalFormatting>
  <conditionalFormatting sqref="E28">
    <cfRule type="cellIs" dxfId="241" priority="11" stopIfTrue="1" operator="greaterThan">
      <formula>$E$30*0.1</formula>
    </cfRule>
  </conditionalFormatting>
  <conditionalFormatting sqref="C14">
    <cfRule type="cellIs" dxfId="240" priority="12" stopIfTrue="1" operator="greaterThan">
      <formula>$C$16*0.1</formula>
    </cfRule>
  </conditionalFormatting>
  <conditionalFormatting sqref="D14">
    <cfRule type="cellIs" dxfId="239" priority="13" stopIfTrue="1" operator="greaterThan">
      <formula>$D$16*0.1</formula>
    </cfRule>
  </conditionalFormatting>
  <conditionalFormatting sqref="E14">
    <cfRule type="cellIs" dxfId="238" priority="14" stopIfTrue="1" operator="greaterThan">
      <formula>$E$16*0.1</formula>
    </cfRule>
  </conditionalFormatting>
  <conditionalFormatting sqref="E64 C64 E31 C31">
    <cfRule type="cellIs" dxfId="237" priority="15" stopIfTrue="1" operator="lessThan">
      <formula>0</formula>
    </cfRule>
  </conditionalFormatting>
  <conditionalFormatting sqref="D30">
    <cfRule type="cellIs" dxfId="236" priority="16" stopIfTrue="1" operator="greaterThan">
      <formula>$D$32</formula>
    </cfRule>
  </conditionalFormatting>
  <conditionalFormatting sqref="C30">
    <cfRule type="cellIs" dxfId="235" priority="17" stopIfTrue="1" operator="greaterThan">
      <formula>$C$32</formula>
    </cfRule>
  </conditionalFormatting>
  <conditionalFormatting sqref="C63">
    <cfRule type="cellIs" dxfId="234" priority="18" stopIfTrue="1" operator="greaterThan">
      <formula>$C$65</formula>
    </cfRule>
  </conditionalFormatting>
  <conditionalFormatting sqref="D63">
    <cfRule type="cellIs" dxfId="233" priority="19" stopIfTrue="1" operator="greaterThan">
      <formula>$D$65</formula>
    </cfRule>
  </conditionalFormatting>
  <conditionalFormatting sqref="D64 D31">
    <cfRule type="cellIs" dxfId="232" priority="2" stopIfTrue="1" operator="lessThan">
      <formula>0</formula>
    </cfRule>
  </conditionalFormatting>
  <pageMargins left="0.5" right="0.5" top="1" bottom="0.5" header="0.5" footer="0.5"/>
  <pageSetup scale="72" orientation="portrait" blackAndWhite="1" horizontalDpi="120" verticalDpi="144" r:id="rId1"/>
  <headerFooter alignWithMargins="0">
    <oddHeader>&amp;RState of Kansas
City</oddHeader>
  </headerFooter>
</worksheet>
</file>

<file path=xl/worksheets/sheet19.xml><?xml version="1.0" encoding="utf-8"?>
<worksheet xmlns="http://schemas.openxmlformats.org/spreadsheetml/2006/main" xmlns:r="http://schemas.openxmlformats.org/officeDocument/2006/relationships">
  <sheetPr>
    <pageSetUpPr fitToPage="1"/>
  </sheetPr>
  <dimension ref="B1:E69"/>
  <sheetViews>
    <sheetView workbookViewId="0">
      <selection activeCell="B29" sqref="B29"/>
    </sheetView>
  </sheetViews>
  <sheetFormatPr defaultColWidth="8.88671875" defaultRowHeight="15.75"/>
  <cols>
    <col min="1" max="1" width="2.44140625" style="80" customWidth="1"/>
    <col min="2" max="2" width="31.109375" style="80" customWidth="1"/>
    <col min="3" max="4" width="15.77734375" style="80" customWidth="1"/>
    <col min="5" max="5" width="16.6640625" style="80" customWidth="1"/>
    <col min="6" max="16384" width="8.88671875" style="80"/>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inputPrYr!B33</f>
        <v>Spec. Rev. Economic Development</v>
      </c>
      <c r="C5" s="440" t="str">
        <f>CONCATENATE("Actual for ",E1-2,"")</f>
        <v>Actual for 2012</v>
      </c>
      <c r="D5" s="440" t="str">
        <f>CONCATENATE("Estimate for ",E1-1,"")</f>
        <v>Estimate for 2013</v>
      </c>
      <c r="E5" s="268" t="str">
        <f>CONCATENATE("Year for ",E1,"")</f>
        <v>Year for 2014</v>
      </c>
    </row>
    <row r="6" spans="2:5">
      <c r="B6" s="360" t="s">
        <v>57</v>
      </c>
      <c r="C6" s="106">
        <v>11147</v>
      </c>
      <c r="D6" s="346">
        <f>C31</f>
        <v>11946</v>
      </c>
      <c r="E6" s="346">
        <f>D31</f>
        <v>14029</v>
      </c>
    </row>
    <row r="7" spans="2:5">
      <c r="B7" s="361" t="s">
        <v>59</v>
      </c>
      <c r="C7" s="124"/>
      <c r="D7" s="124"/>
      <c r="E7" s="124"/>
    </row>
    <row r="8" spans="2:5">
      <c r="B8" s="348" t="s">
        <v>1143</v>
      </c>
      <c r="C8" s="106">
        <v>10000</v>
      </c>
      <c r="D8" s="106">
        <v>0</v>
      </c>
      <c r="E8" s="106">
        <v>15200</v>
      </c>
    </row>
    <row r="9" spans="2:5">
      <c r="B9" s="348" t="s">
        <v>331</v>
      </c>
      <c r="C9" s="106">
        <v>37</v>
      </c>
      <c r="D9" s="106">
        <v>0</v>
      </c>
      <c r="E9" s="106">
        <v>0</v>
      </c>
    </row>
    <row r="10" spans="2:5">
      <c r="B10" s="348" t="s">
        <v>1144</v>
      </c>
      <c r="C10" s="106">
        <v>0</v>
      </c>
      <c r="D10" s="106">
        <v>13500</v>
      </c>
      <c r="E10" s="106">
        <v>0</v>
      </c>
    </row>
    <row r="11" spans="2:5">
      <c r="B11" s="348"/>
      <c r="C11" s="106"/>
      <c r="D11" s="106"/>
      <c r="E11" s="106"/>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10037</v>
      </c>
      <c r="D16" s="356">
        <f>SUM(D8:D14)</f>
        <v>13500</v>
      </c>
      <c r="E16" s="356">
        <f>SUM(E8:E14)</f>
        <v>15200</v>
      </c>
    </row>
    <row r="17" spans="2:5">
      <c r="B17" s="354" t="s">
        <v>289</v>
      </c>
      <c r="C17" s="356">
        <f>C6+C16</f>
        <v>21184</v>
      </c>
      <c r="D17" s="356">
        <f>D6+D16</f>
        <v>25446</v>
      </c>
      <c r="E17" s="356">
        <f>E6+E16</f>
        <v>29229</v>
      </c>
    </row>
    <row r="18" spans="2:5">
      <c r="B18" s="167" t="s">
        <v>291</v>
      </c>
      <c r="C18" s="346"/>
      <c r="D18" s="346"/>
      <c r="E18" s="346"/>
    </row>
    <row r="19" spans="2:5">
      <c r="B19" s="348" t="s">
        <v>1071</v>
      </c>
      <c r="C19" s="106">
        <v>8161</v>
      </c>
      <c r="D19" s="106">
        <v>10517</v>
      </c>
      <c r="E19" s="106">
        <v>11774</v>
      </c>
    </row>
    <row r="20" spans="2:5">
      <c r="B20" s="348" t="s">
        <v>1063</v>
      </c>
      <c r="C20" s="106">
        <v>1077</v>
      </c>
      <c r="D20" s="106">
        <v>900</v>
      </c>
      <c r="E20" s="106">
        <v>800</v>
      </c>
    </row>
    <row r="21" spans="2:5">
      <c r="B21" s="348"/>
      <c r="C21" s="106"/>
      <c r="D21" s="106"/>
      <c r="E21" s="106"/>
    </row>
    <row r="22" spans="2:5">
      <c r="B22" s="348"/>
      <c r="C22" s="106"/>
      <c r="D22" s="106"/>
      <c r="E22" s="106"/>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9238</v>
      </c>
      <c r="D30" s="356">
        <f>SUM(D19:D28)</f>
        <v>11417</v>
      </c>
      <c r="E30" s="356">
        <f>SUM(E19:E28)</f>
        <v>12574</v>
      </c>
    </row>
    <row r="31" spans="2:5">
      <c r="B31" s="167" t="s">
        <v>58</v>
      </c>
      <c r="C31" s="119">
        <f>C17-C30</f>
        <v>11946</v>
      </c>
      <c r="D31" s="119">
        <f>D17-D30</f>
        <v>14029</v>
      </c>
      <c r="E31" s="119">
        <f>E17-E30</f>
        <v>16655</v>
      </c>
    </row>
    <row r="32" spans="2:5">
      <c r="B32" s="197" t="str">
        <f>CONCATENATE("",E1-2,"/",E1-1," Budget Authority Amount:")</f>
        <v>2012/2013 Budget Authority Amount:</v>
      </c>
      <c r="C32" s="303">
        <f>inputOth!B80</f>
        <v>9450</v>
      </c>
      <c r="D32" s="303">
        <f>inputPrYr!D31</f>
        <v>80196</v>
      </c>
      <c r="E32" s="547" t="str">
        <f>IF(E31&lt;0,"See Tab E","")</f>
        <v/>
      </c>
    </row>
    <row r="33" spans="2:5">
      <c r="B33" s="197"/>
      <c r="C33" s="358" t="str">
        <f>IF(C30&gt;C32,"See Tab A","")</f>
        <v/>
      </c>
      <c r="D33" s="358" t="str">
        <f>IF(D30&gt;D32,"See Tab C","")</f>
        <v/>
      </c>
      <c r="E33" s="136"/>
    </row>
    <row r="34" spans="2:5">
      <c r="B34" s="1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inputPrYr!B34</f>
        <v>Spec. Rev. Emergency Services Capital</v>
      </c>
      <c r="C38" s="359" t="str">
        <f>C5</f>
        <v>Actual for 2012</v>
      </c>
      <c r="D38" s="359" t="str">
        <f>D5</f>
        <v>Estimate for 2013</v>
      </c>
      <c r="E38" s="359" t="str">
        <f>E5</f>
        <v>Year for 2014</v>
      </c>
    </row>
    <row r="39" spans="2:5">
      <c r="B39" s="360" t="s">
        <v>57</v>
      </c>
      <c r="C39" s="106">
        <v>333251</v>
      </c>
      <c r="D39" s="346">
        <f>C64</f>
        <v>358654</v>
      </c>
      <c r="E39" s="346">
        <f>D64</f>
        <v>312330</v>
      </c>
    </row>
    <row r="40" spans="2:5">
      <c r="B40" s="361" t="s">
        <v>59</v>
      </c>
      <c r="C40" s="124"/>
      <c r="D40" s="124"/>
      <c r="E40" s="124"/>
    </row>
    <row r="41" spans="2:5">
      <c r="B41" s="348" t="s">
        <v>1145</v>
      </c>
      <c r="C41" s="106">
        <v>448392</v>
      </c>
      <c r="D41" s="106">
        <v>443000</v>
      </c>
      <c r="E41" s="106">
        <v>417000</v>
      </c>
    </row>
    <row r="42" spans="2:5">
      <c r="B42" s="348" t="s">
        <v>331</v>
      </c>
      <c r="C42" s="106">
        <v>1073</v>
      </c>
      <c r="D42" s="106">
        <v>600</v>
      </c>
      <c r="E42" s="106">
        <v>600</v>
      </c>
    </row>
    <row r="43" spans="2:5">
      <c r="B43" s="348"/>
      <c r="C43" s="106"/>
      <c r="D43" s="106"/>
      <c r="E43" s="106"/>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449465</v>
      </c>
      <c r="D49" s="356">
        <f>SUM(D41:D47)</f>
        <v>443600</v>
      </c>
      <c r="E49" s="356">
        <f>SUM(E41:E47)</f>
        <v>417600</v>
      </c>
    </row>
    <row r="50" spans="2:5">
      <c r="B50" s="354" t="s">
        <v>289</v>
      </c>
      <c r="C50" s="356">
        <f>C39+C49</f>
        <v>782716</v>
      </c>
      <c r="D50" s="356">
        <f>D39+D49</f>
        <v>802254</v>
      </c>
      <c r="E50" s="356">
        <f>E39+E49</f>
        <v>729930</v>
      </c>
    </row>
    <row r="51" spans="2:5">
      <c r="B51" s="167" t="s">
        <v>291</v>
      </c>
      <c r="C51" s="346"/>
      <c r="D51" s="346"/>
      <c r="E51" s="346"/>
    </row>
    <row r="52" spans="2:5">
      <c r="B52" s="348" t="s">
        <v>1064</v>
      </c>
      <c r="C52" s="106">
        <v>348623</v>
      </c>
      <c r="D52" s="106">
        <v>221880</v>
      </c>
      <c r="E52" s="106">
        <v>434841</v>
      </c>
    </row>
    <row r="53" spans="2:5">
      <c r="B53" s="348" t="s">
        <v>1126</v>
      </c>
      <c r="C53" s="106">
        <v>75439</v>
      </c>
      <c r="D53" s="106">
        <v>268044</v>
      </c>
      <c r="E53" s="106">
        <v>268501</v>
      </c>
    </row>
    <row r="54" spans="2:5">
      <c r="B54" s="348"/>
      <c r="C54" s="106"/>
      <c r="D54" s="106"/>
      <c r="E54" s="106"/>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164" t="s">
        <v>295</v>
      </c>
      <c r="C63" s="356">
        <f>SUM(C52:C61)</f>
        <v>424062</v>
      </c>
      <c r="D63" s="356">
        <f>SUM(D52:D61)</f>
        <v>489924</v>
      </c>
      <c r="E63" s="356">
        <f>SUM(E52:E61)</f>
        <v>703342</v>
      </c>
    </row>
    <row r="64" spans="2:5">
      <c r="B64" s="167" t="s">
        <v>58</v>
      </c>
      <c r="C64" s="119">
        <f>C50-C63</f>
        <v>358654</v>
      </c>
      <c r="D64" s="119">
        <f>D50-D63</f>
        <v>312330</v>
      </c>
      <c r="E64" s="119">
        <f>E50-E63</f>
        <v>26588</v>
      </c>
    </row>
    <row r="65" spans="2:5">
      <c r="B65" s="197" t="str">
        <f>CONCATENATE("",E1-2,"/",E1-1," Budget Authority Amount:")</f>
        <v>2012/2013 Budget Authority Amount:</v>
      </c>
      <c r="C65" s="303">
        <f>inputOth!B81</f>
        <v>481383</v>
      </c>
      <c r="D65" s="303">
        <f>inputPrYr!D34</f>
        <v>714118</v>
      </c>
      <c r="E65" s="547" t="str">
        <f>IF(E64&lt;0,"See Tab E","")</f>
        <v/>
      </c>
    </row>
    <row r="66" spans="2:5">
      <c r="B66" s="197"/>
      <c r="C66" s="358" t="str">
        <f>IF(C63&gt;C65,"See Tab A","")</f>
        <v/>
      </c>
      <c r="D66" s="358" t="str">
        <f>IF(D63&gt;D65,"See Tab C","")</f>
        <v/>
      </c>
      <c r="E66" s="84"/>
    </row>
    <row r="67" spans="2:5">
      <c r="B67" s="197"/>
      <c r="C67" s="358" t="str">
        <f>IF(C64&lt;0,"See Tab B","")</f>
        <v/>
      </c>
      <c r="D67" s="358" t="str">
        <f>IF(D64&lt;0,"See Tab D","")</f>
        <v/>
      </c>
      <c r="E67" s="84"/>
    </row>
    <row r="68" spans="2:5">
      <c r="B68" s="84"/>
      <c r="C68" s="84"/>
      <c r="D68" s="84"/>
      <c r="E68" s="84"/>
    </row>
    <row r="69" spans="2:5">
      <c r="B69" s="197" t="s">
        <v>298</v>
      </c>
      <c r="C69" s="297">
        <v>13</v>
      </c>
      <c r="D69" s="84"/>
      <c r="E69" s="84"/>
    </row>
  </sheetData>
  <phoneticPr fontId="0" type="noConversion"/>
  <conditionalFormatting sqref="C47">
    <cfRule type="cellIs" dxfId="231" priority="3" stopIfTrue="1" operator="greaterThan">
      <formula>$C$49*0.1</formula>
    </cfRule>
  </conditionalFormatting>
  <conditionalFormatting sqref="D47">
    <cfRule type="cellIs" dxfId="230" priority="4" stopIfTrue="1" operator="greaterThan">
      <formula>$D$49*0.1</formula>
    </cfRule>
  </conditionalFormatting>
  <conditionalFormatting sqref="E47">
    <cfRule type="cellIs" dxfId="229" priority="5" stopIfTrue="1" operator="greaterThan">
      <formula>$E$49*0.1</formula>
    </cfRule>
  </conditionalFormatting>
  <conditionalFormatting sqref="C61">
    <cfRule type="cellIs" dxfId="228" priority="6" stopIfTrue="1" operator="greaterThan">
      <formula>$C$63*0.1</formula>
    </cfRule>
  </conditionalFormatting>
  <conditionalFormatting sqref="D61">
    <cfRule type="cellIs" dxfId="227" priority="7" stopIfTrue="1" operator="greaterThan">
      <formula>$D$63*0.1</formula>
    </cfRule>
  </conditionalFormatting>
  <conditionalFormatting sqref="E61">
    <cfRule type="cellIs" dxfId="226" priority="8" stopIfTrue="1" operator="greaterThan">
      <formula>$E$63*0.1</formula>
    </cfRule>
  </conditionalFormatting>
  <conditionalFormatting sqref="C28">
    <cfRule type="cellIs" dxfId="225" priority="9" stopIfTrue="1" operator="greaterThan">
      <formula>$C$30*0.1</formula>
    </cfRule>
  </conditionalFormatting>
  <conditionalFormatting sqref="D28">
    <cfRule type="cellIs" dxfId="224" priority="10" stopIfTrue="1" operator="greaterThan">
      <formula>$D$30*0.1</formula>
    </cfRule>
  </conditionalFormatting>
  <conditionalFormatting sqref="E28">
    <cfRule type="cellIs" dxfId="223" priority="11" stopIfTrue="1" operator="greaterThan">
      <formula>$E$30*0.1</formula>
    </cfRule>
  </conditionalFormatting>
  <conditionalFormatting sqref="C14">
    <cfRule type="cellIs" dxfId="222" priority="12" stopIfTrue="1" operator="greaterThan">
      <formula>$C$16*0.1</formula>
    </cfRule>
  </conditionalFormatting>
  <conditionalFormatting sqref="D14">
    <cfRule type="cellIs" dxfId="221" priority="13" stopIfTrue="1" operator="greaterThan">
      <formula>$D$16*0.1</formula>
    </cfRule>
  </conditionalFormatting>
  <conditionalFormatting sqref="E14">
    <cfRule type="cellIs" dxfId="220" priority="14" stopIfTrue="1" operator="greaterThan">
      <formula>$E$16*0.1</formula>
    </cfRule>
  </conditionalFormatting>
  <conditionalFormatting sqref="E31 C31 E64 C64">
    <cfRule type="cellIs" dxfId="219" priority="15" stopIfTrue="1" operator="lessThan">
      <formula>0</formula>
    </cfRule>
  </conditionalFormatting>
  <conditionalFormatting sqref="C30">
    <cfRule type="cellIs" dxfId="218" priority="16" stopIfTrue="1" operator="greaterThan">
      <formula>$C$32</formula>
    </cfRule>
  </conditionalFormatting>
  <conditionalFormatting sqref="D30">
    <cfRule type="cellIs" dxfId="217" priority="17" stopIfTrue="1" operator="greaterThan">
      <formula>$D$32</formula>
    </cfRule>
  </conditionalFormatting>
  <conditionalFormatting sqref="C63">
    <cfRule type="cellIs" dxfId="216" priority="18" stopIfTrue="1" operator="greaterThan">
      <formula>$C$65</formula>
    </cfRule>
  </conditionalFormatting>
  <conditionalFormatting sqref="D63">
    <cfRule type="cellIs" dxfId="215" priority="19" stopIfTrue="1" operator="greaterThan">
      <formula>$D$65</formula>
    </cfRule>
  </conditionalFormatting>
  <conditionalFormatting sqref="D64">
    <cfRule type="cellIs" dxfId="214" priority="2" stopIfTrue="1" operator="lessThan">
      <formula>0</formula>
    </cfRule>
  </conditionalFormatting>
  <conditionalFormatting sqref="D31">
    <cfRule type="cellIs" dxfId="213" priority="1" stopIfTrue="1" operator="lessThan">
      <formula>0</formula>
    </cfRule>
  </conditionalFormatting>
  <pageMargins left="0.5" right="0.5" top="1" bottom="0.5" header="0.5" footer="0.5"/>
  <pageSetup scale="72" orientation="portrait" blackAndWhite="1" horizontalDpi="120" verticalDpi="144" r:id="rId1"/>
  <headerFooter alignWithMargins="0">
    <oddHeader>&amp;RState of Kansas
City</oddHeader>
  </headerFooter>
</worksheet>
</file>

<file path=xl/worksheets/sheet20.xml><?xml version="1.0" encoding="utf-8"?>
<worksheet xmlns="http://schemas.openxmlformats.org/spreadsheetml/2006/main" xmlns:r="http://schemas.openxmlformats.org/officeDocument/2006/relationships">
  <sheetPr>
    <pageSetUpPr fitToPage="1"/>
  </sheetPr>
  <dimension ref="B1:E69"/>
  <sheetViews>
    <sheetView topLeftCell="A48" workbookViewId="0">
      <selection activeCell="B29" sqref="B29"/>
    </sheetView>
  </sheetViews>
  <sheetFormatPr defaultColWidth="8.88671875" defaultRowHeight="15.75"/>
  <cols>
    <col min="1" max="1" width="2.44140625" style="80" customWidth="1"/>
    <col min="2" max="2" width="31.109375" style="80" customWidth="1"/>
    <col min="3" max="4" width="15.77734375" style="80" customWidth="1"/>
    <col min="5" max="5" width="16.21875" style="80" customWidth="1"/>
    <col min="6" max="16384" width="8.88671875" style="80"/>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inputPrYr!B35</f>
        <v>Spec. Rev. Emergency Medical Services</v>
      </c>
      <c r="C5" s="440" t="str">
        <f>CONCATENATE("Actual for ",E1-2,"")</f>
        <v>Actual for 2012</v>
      </c>
      <c r="D5" s="440" t="str">
        <f>CONCATENATE("Estimate for ",E1-1,"")</f>
        <v>Estimate for 2013</v>
      </c>
      <c r="E5" s="268" t="str">
        <f>CONCATENATE("Year for ",E1,"")</f>
        <v>Year for 2014</v>
      </c>
    </row>
    <row r="6" spans="2:5">
      <c r="B6" s="360" t="s">
        <v>57</v>
      </c>
      <c r="C6" s="106">
        <v>0</v>
      </c>
      <c r="D6" s="346">
        <f>C31</f>
        <v>-288</v>
      </c>
      <c r="E6" s="346">
        <f>D31</f>
        <v>0</v>
      </c>
    </row>
    <row r="7" spans="2:5">
      <c r="B7" s="361" t="s">
        <v>59</v>
      </c>
      <c r="C7" s="124"/>
      <c r="D7" s="124"/>
      <c r="E7" s="124"/>
    </row>
    <row r="8" spans="2:5">
      <c r="B8" s="348" t="s">
        <v>1155</v>
      </c>
      <c r="C8" s="106">
        <v>174796</v>
      </c>
      <c r="D8" s="106">
        <v>160000</v>
      </c>
      <c r="E8" s="106">
        <v>155000</v>
      </c>
    </row>
    <row r="9" spans="2:5">
      <c r="B9" s="348" t="s">
        <v>1130</v>
      </c>
      <c r="C9" s="106">
        <v>315631</v>
      </c>
      <c r="D9" s="106">
        <v>394947</v>
      </c>
      <c r="E9" s="106">
        <v>421020</v>
      </c>
    </row>
    <row r="10" spans="2:5">
      <c r="B10" s="348" t="s">
        <v>1156</v>
      </c>
      <c r="C10" s="106">
        <v>0</v>
      </c>
      <c r="D10" s="106">
        <v>288</v>
      </c>
      <c r="E10" s="106">
        <v>0</v>
      </c>
    </row>
    <row r="11" spans="2:5">
      <c r="B11" s="348"/>
      <c r="C11" s="106"/>
      <c r="D11" s="106"/>
      <c r="E11" s="106"/>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490427</v>
      </c>
      <c r="D16" s="356">
        <f>SUM(D8:D14)</f>
        <v>555235</v>
      </c>
      <c r="E16" s="356">
        <f>SUM(E8:E14)</f>
        <v>576020</v>
      </c>
    </row>
    <row r="17" spans="2:5">
      <c r="B17" s="354" t="s">
        <v>289</v>
      </c>
      <c r="C17" s="356">
        <f>C6+C16</f>
        <v>490427</v>
      </c>
      <c r="D17" s="356">
        <f>D6+D16</f>
        <v>554947</v>
      </c>
      <c r="E17" s="356">
        <f>E6+E16</f>
        <v>576020</v>
      </c>
    </row>
    <row r="18" spans="2:5">
      <c r="B18" s="167" t="s">
        <v>291</v>
      </c>
      <c r="C18" s="346"/>
      <c r="D18" s="346"/>
      <c r="E18" s="346"/>
    </row>
    <row r="19" spans="2:5">
      <c r="B19" s="348" t="s">
        <v>1062</v>
      </c>
      <c r="C19" s="106">
        <v>371664</v>
      </c>
      <c r="D19" s="106">
        <v>419688</v>
      </c>
      <c r="E19" s="106">
        <v>441374</v>
      </c>
    </row>
    <row r="20" spans="2:5">
      <c r="B20" s="348" t="s">
        <v>1071</v>
      </c>
      <c r="C20" s="106">
        <v>68762</v>
      </c>
      <c r="D20" s="106">
        <v>83209</v>
      </c>
      <c r="E20" s="106">
        <v>85096</v>
      </c>
    </row>
    <row r="21" spans="2:5">
      <c r="B21" s="348" t="s">
        <v>1063</v>
      </c>
      <c r="C21" s="106">
        <v>47886</v>
      </c>
      <c r="D21" s="106">
        <v>50550</v>
      </c>
      <c r="E21" s="106">
        <v>49550</v>
      </c>
    </row>
    <row r="22" spans="2:5">
      <c r="B22" s="348" t="s">
        <v>1058</v>
      </c>
      <c r="C22" s="106">
        <v>2403</v>
      </c>
      <c r="D22" s="106">
        <v>1500</v>
      </c>
      <c r="E22" s="106">
        <v>0</v>
      </c>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490715</v>
      </c>
      <c r="D30" s="356">
        <f>SUM(D19:D28)</f>
        <v>554947</v>
      </c>
      <c r="E30" s="356">
        <f>SUM(E19:E28)</f>
        <v>576020</v>
      </c>
    </row>
    <row r="31" spans="2:5">
      <c r="B31" s="167" t="s">
        <v>58</v>
      </c>
      <c r="C31" s="119">
        <f>C17-C30</f>
        <v>-288</v>
      </c>
      <c r="D31" s="119">
        <f>D17-D30</f>
        <v>0</v>
      </c>
      <c r="E31" s="119">
        <f>E17-E30</f>
        <v>0</v>
      </c>
    </row>
    <row r="32" spans="2:5">
      <c r="B32" s="197" t="str">
        <f>CONCATENATE("",E1-2,"/",E1-1," Budget Authority Amount:")</f>
        <v>2012/2013 Budget Authority Amount:</v>
      </c>
      <c r="C32" s="303">
        <f>inputOth!B82</f>
        <v>531378</v>
      </c>
      <c r="D32" s="303">
        <f>inputPrYr!D35</f>
        <v>554947</v>
      </c>
      <c r="E32" s="547" t="str">
        <f>IF(E31&lt;0,"See Tab E","")</f>
        <v/>
      </c>
    </row>
    <row r="33" spans="2:5">
      <c r="B33" s="197"/>
      <c r="C33" s="358" t="str">
        <f>IF(C30&gt;C32,"See Tab A","")</f>
        <v/>
      </c>
      <c r="D33" s="358" t="str">
        <f>IF(D30&gt;D32,"See Tab C","")</f>
        <v/>
      </c>
      <c r="E33" s="136"/>
    </row>
    <row r="34" spans="2:5">
      <c r="B34" s="197"/>
      <c r="C34" s="358" t="str">
        <f>IF(C31&lt;0,"See Tab B","")</f>
        <v>See Tab B</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inputPrYr!B36</f>
        <v>Spec. Rev. Library Sales Tax</v>
      </c>
      <c r="C38" s="359" t="str">
        <f>C5</f>
        <v>Actual for 2012</v>
      </c>
      <c r="D38" s="359" t="str">
        <f>D5</f>
        <v>Estimate for 2013</v>
      </c>
      <c r="E38" s="359" t="str">
        <f>E5</f>
        <v>Year for 2014</v>
      </c>
    </row>
    <row r="39" spans="2:5">
      <c r="B39" s="360" t="s">
        <v>57</v>
      </c>
      <c r="C39" s="106">
        <v>613553</v>
      </c>
      <c r="D39" s="346">
        <f>C64</f>
        <v>633353</v>
      </c>
      <c r="E39" s="346">
        <f>D64</f>
        <v>689633</v>
      </c>
    </row>
    <row r="40" spans="2:5">
      <c r="B40" s="361" t="s">
        <v>59</v>
      </c>
      <c r="C40" s="124"/>
      <c r="D40" s="124"/>
      <c r="E40" s="124"/>
    </row>
    <row r="41" spans="2:5">
      <c r="B41" s="348" t="s">
        <v>1145</v>
      </c>
      <c r="C41" s="106">
        <v>448392</v>
      </c>
      <c r="D41" s="106">
        <v>443000</v>
      </c>
      <c r="E41" s="106">
        <v>417000</v>
      </c>
    </row>
    <row r="42" spans="2:5">
      <c r="B42" s="348" t="s">
        <v>331</v>
      </c>
      <c r="C42" s="106">
        <v>1248</v>
      </c>
      <c r="D42" s="106">
        <v>750</v>
      </c>
      <c r="E42" s="106">
        <v>600</v>
      </c>
    </row>
    <row r="43" spans="2:5">
      <c r="B43" s="348"/>
      <c r="C43" s="106"/>
      <c r="D43" s="106"/>
      <c r="E43" s="106"/>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449640</v>
      </c>
      <c r="D49" s="356">
        <f>SUM(D41:D47)</f>
        <v>443750</v>
      </c>
      <c r="E49" s="356">
        <f>SUM(E41:E47)</f>
        <v>417600</v>
      </c>
    </row>
    <row r="50" spans="2:5">
      <c r="B50" s="354" t="s">
        <v>289</v>
      </c>
      <c r="C50" s="356">
        <f>C39+C49</f>
        <v>1063193</v>
      </c>
      <c r="D50" s="356">
        <f>D39+D49</f>
        <v>1077103</v>
      </c>
      <c r="E50" s="356">
        <f>E39+E49</f>
        <v>1107233</v>
      </c>
    </row>
    <row r="51" spans="2:5">
      <c r="B51" s="167" t="s">
        <v>291</v>
      </c>
      <c r="C51" s="346"/>
      <c r="D51" s="346"/>
      <c r="E51" s="346"/>
    </row>
    <row r="52" spans="2:5">
      <c r="B52" s="348" t="s">
        <v>1159</v>
      </c>
      <c r="C52" s="106">
        <v>429840</v>
      </c>
      <c r="D52" s="106">
        <v>387470</v>
      </c>
      <c r="E52" s="106">
        <v>437940</v>
      </c>
    </row>
    <row r="53" spans="2:5">
      <c r="B53" s="348"/>
      <c r="C53" s="106"/>
      <c r="D53" s="106"/>
      <c r="E53" s="106"/>
    </row>
    <row r="54" spans="2:5">
      <c r="B54" s="348"/>
      <c r="C54" s="106"/>
      <c r="D54" s="106"/>
      <c r="E54" s="106"/>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354" t="s">
        <v>295</v>
      </c>
      <c r="C63" s="356">
        <f>SUM(C52:C61)</f>
        <v>429840</v>
      </c>
      <c r="D63" s="356">
        <f>SUM(D52:D61)</f>
        <v>387470</v>
      </c>
      <c r="E63" s="356">
        <f>SUM(E52:E61)</f>
        <v>437940</v>
      </c>
    </row>
    <row r="64" spans="2:5">
      <c r="B64" s="167" t="s">
        <v>58</v>
      </c>
      <c r="C64" s="119">
        <f>C50-C63</f>
        <v>633353</v>
      </c>
      <c r="D64" s="119">
        <f>D50-D63</f>
        <v>689633</v>
      </c>
      <c r="E64" s="119">
        <f>E50-E63</f>
        <v>669293</v>
      </c>
    </row>
    <row r="65" spans="2:5">
      <c r="B65" s="197" t="str">
        <f>CONCATENATE("",E1-2," Budget Authority Limited Amount:")</f>
        <v>2012 Budget Authority Limited Amount:</v>
      </c>
      <c r="C65" s="303">
        <f>inputOth!B83</f>
        <v>429840</v>
      </c>
      <c r="D65" s="303">
        <f>inputPrYr!D36</f>
        <v>436530</v>
      </c>
      <c r="E65" s="547" t="str">
        <f>IF(E64&lt;0,"See Tab E","")</f>
        <v/>
      </c>
    </row>
    <row r="66" spans="2:5">
      <c r="B66" s="197"/>
      <c r="C66" s="358" t="str">
        <f>IF(C63&gt;C65,"See Tab A","")</f>
        <v/>
      </c>
      <c r="D66" s="358" t="str">
        <f>IF(D63&gt;D65,"See Tab C","")</f>
        <v/>
      </c>
      <c r="E66" s="84"/>
    </row>
    <row r="67" spans="2:5">
      <c r="B67" s="197"/>
      <c r="C67" s="358" t="str">
        <f>IF(C64&lt;0,"See Tab B","")</f>
        <v/>
      </c>
      <c r="D67" s="358" t="str">
        <f>IF(D64&lt;0,"See Tab D","")</f>
        <v/>
      </c>
      <c r="E67" s="84"/>
    </row>
    <row r="68" spans="2:5">
      <c r="B68" s="84"/>
      <c r="C68" s="84"/>
      <c r="D68" s="84"/>
      <c r="E68" s="84"/>
    </row>
    <row r="69" spans="2:5">
      <c r="B69" s="197" t="s">
        <v>298</v>
      </c>
      <c r="C69" s="297">
        <v>14</v>
      </c>
      <c r="D69" s="84"/>
      <c r="E69" s="84"/>
    </row>
  </sheetData>
  <phoneticPr fontId="0" type="noConversion"/>
  <conditionalFormatting sqref="C47">
    <cfRule type="cellIs" dxfId="212" priority="3" stopIfTrue="1" operator="greaterThan">
      <formula>$C$49*0.1</formula>
    </cfRule>
  </conditionalFormatting>
  <conditionalFormatting sqref="D47">
    <cfRule type="cellIs" dxfId="211" priority="4" stopIfTrue="1" operator="greaterThan">
      <formula>$D$49*0.1</formula>
    </cfRule>
  </conditionalFormatting>
  <conditionalFormatting sqref="E47">
    <cfRule type="cellIs" dxfId="210" priority="5" stopIfTrue="1" operator="greaterThan">
      <formula>$E$49*0.1</formula>
    </cfRule>
  </conditionalFormatting>
  <conditionalFormatting sqref="C61">
    <cfRule type="cellIs" dxfId="209" priority="6" stopIfTrue="1" operator="greaterThan">
      <formula>$C$63*0.1</formula>
    </cfRule>
  </conditionalFormatting>
  <conditionalFormatting sqref="D61">
    <cfRule type="cellIs" dxfId="208" priority="7" stopIfTrue="1" operator="greaterThan">
      <formula>$D$63*0.1</formula>
    </cfRule>
  </conditionalFormatting>
  <conditionalFormatting sqref="E61">
    <cfRule type="cellIs" dxfId="207" priority="8" stopIfTrue="1" operator="greaterThan">
      <formula>$E$63*0.1</formula>
    </cfRule>
  </conditionalFormatting>
  <conditionalFormatting sqref="C28">
    <cfRule type="cellIs" dxfId="206" priority="9" stopIfTrue="1" operator="greaterThan">
      <formula>$C$30*0.1</formula>
    </cfRule>
  </conditionalFormatting>
  <conditionalFormatting sqref="D28">
    <cfRule type="cellIs" dxfId="205" priority="10" stopIfTrue="1" operator="greaterThan">
      <formula>$D$30*0.1</formula>
    </cfRule>
  </conditionalFormatting>
  <conditionalFormatting sqref="E28">
    <cfRule type="cellIs" dxfId="204" priority="11" stopIfTrue="1" operator="greaterThan">
      <formula>$E$30*0.1</formula>
    </cfRule>
  </conditionalFormatting>
  <conditionalFormatting sqref="C14">
    <cfRule type="cellIs" dxfId="203" priority="12" stopIfTrue="1" operator="greaterThan">
      <formula>$C$16*0.1</formula>
    </cfRule>
  </conditionalFormatting>
  <conditionalFormatting sqref="D14">
    <cfRule type="cellIs" dxfId="202" priority="13" stopIfTrue="1" operator="greaterThan">
      <formula>$D$16*0.1</formula>
    </cfRule>
  </conditionalFormatting>
  <conditionalFormatting sqref="E14">
    <cfRule type="cellIs" dxfId="201" priority="14" stopIfTrue="1" operator="greaterThan">
      <formula>$E$16*0.1</formula>
    </cfRule>
  </conditionalFormatting>
  <conditionalFormatting sqref="E31 C31 E64 C64">
    <cfRule type="cellIs" dxfId="200" priority="15" stopIfTrue="1" operator="lessThan">
      <formula>0</formula>
    </cfRule>
  </conditionalFormatting>
  <conditionalFormatting sqref="C30">
    <cfRule type="cellIs" dxfId="199" priority="16" stopIfTrue="1" operator="greaterThan">
      <formula>$C$32</formula>
    </cfRule>
  </conditionalFormatting>
  <conditionalFormatting sqref="D30">
    <cfRule type="cellIs" dxfId="198" priority="17" stopIfTrue="1" operator="greaterThan">
      <formula>$D$32</formula>
    </cfRule>
  </conditionalFormatting>
  <conditionalFormatting sqref="C63">
    <cfRule type="cellIs" dxfId="197" priority="18" stopIfTrue="1" operator="greaterThan">
      <formula>$C$65</formula>
    </cfRule>
  </conditionalFormatting>
  <conditionalFormatting sqref="D63">
    <cfRule type="cellIs" dxfId="196" priority="19" stopIfTrue="1" operator="greaterThan">
      <formula>$D$65</formula>
    </cfRule>
  </conditionalFormatting>
  <conditionalFormatting sqref="D64">
    <cfRule type="cellIs" dxfId="195" priority="2" stopIfTrue="1" operator="lessThan">
      <formula>0</formula>
    </cfRule>
  </conditionalFormatting>
  <conditionalFormatting sqref="D31">
    <cfRule type="cellIs" dxfId="194" priority="1" stopIfTrue="1" operator="lessThan">
      <formula>0</formula>
    </cfRule>
  </conditionalFormatting>
  <pageMargins left="0.5" right="0.5" top="1" bottom="0.5" header="0.5" footer="0.5"/>
  <pageSetup scale="72" orientation="portrait" blackAndWhite="1" horizontalDpi="120" verticalDpi="144" r:id="rId1"/>
  <headerFooter alignWithMargins="0">
    <oddHeader>&amp;RState of Kansas
City</oddHeader>
  </headerFooter>
</worksheet>
</file>

<file path=xl/worksheets/sheet21.xml><?xml version="1.0" encoding="utf-8"?>
<worksheet xmlns="http://schemas.openxmlformats.org/spreadsheetml/2006/main" xmlns:r="http://schemas.openxmlformats.org/officeDocument/2006/relationships">
  <sheetPr>
    <pageSetUpPr fitToPage="1"/>
  </sheetPr>
  <dimension ref="B1:E63"/>
  <sheetViews>
    <sheetView topLeftCell="A42" workbookViewId="0">
      <selection activeCell="B23" sqref="B23"/>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inputPrYr!B37</f>
        <v>Spec. Rev. Park Dedication</v>
      </c>
      <c r="C5" s="440" t="str">
        <f>CONCATENATE("Actual for ",E1-2,"")</f>
        <v>Actual for 2012</v>
      </c>
      <c r="D5" s="440" t="str">
        <f>CONCATENATE("Estimate for ",E1-1,"")</f>
        <v>Estimate for 2013</v>
      </c>
      <c r="E5" s="268" t="str">
        <f>CONCATENATE("Year for ",E1,"")</f>
        <v>Year for 2014</v>
      </c>
    </row>
    <row r="6" spans="2:5">
      <c r="B6" s="360" t="s">
        <v>57</v>
      </c>
      <c r="C6" s="106">
        <v>15070</v>
      </c>
      <c r="D6" s="346">
        <f>C25</f>
        <v>26126</v>
      </c>
      <c r="E6" s="346">
        <f>D25</f>
        <v>31166</v>
      </c>
    </row>
    <row r="7" spans="2:5" s="80" customFormat="1">
      <c r="B7" s="361" t="s">
        <v>59</v>
      </c>
      <c r="C7" s="124"/>
      <c r="D7" s="124"/>
      <c r="E7" s="124"/>
    </row>
    <row r="8" spans="2:5">
      <c r="B8" s="348" t="s">
        <v>1090</v>
      </c>
      <c r="C8" s="106">
        <v>11000</v>
      </c>
      <c r="D8" s="106">
        <v>5000</v>
      </c>
      <c r="E8" s="106">
        <v>4000</v>
      </c>
    </row>
    <row r="9" spans="2:5">
      <c r="B9" s="348" t="s">
        <v>331</v>
      </c>
      <c r="C9" s="106">
        <v>56</v>
      </c>
      <c r="D9" s="106">
        <v>40</v>
      </c>
      <c r="E9" s="106">
        <v>40</v>
      </c>
    </row>
    <row r="10" spans="2:5">
      <c r="B10" s="348"/>
      <c r="C10" s="106"/>
      <c r="D10" s="106"/>
      <c r="E10" s="106"/>
    </row>
    <row r="11" spans="2:5">
      <c r="B11" s="362" t="s">
        <v>260</v>
      </c>
      <c r="C11" s="106"/>
      <c r="D11" s="106"/>
      <c r="E11" s="106"/>
    </row>
    <row r="12" spans="2:5">
      <c r="B12" s="352" t="s">
        <v>182</v>
      </c>
      <c r="C12" s="106"/>
      <c r="D12" s="345"/>
      <c r="E12" s="345"/>
    </row>
    <row r="13" spans="2:5">
      <c r="B13" s="352" t="s">
        <v>668</v>
      </c>
      <c r="C13" s="548" t="str">
        <f>IF(C14*0.1&lt;C12,"Exceed 10% Rule","")</f>
        <v/>
      </c>
      <c r="D13" s="353" t="str">
        <f>IF(D14*0.1&lt;D12,"Exceed 10% Rule","")</f>
        <v/>
      </c>
      <c r="E13" s="353" t="str">
        <f>IF(E14*0.1&lt;E12,"Exceed 10% Rule","")</f>
        <v/>
      </c>
    </row>
    <row r="14" spans="2:5">
      <c r="B14" s="354" t="s">
        <v>288</v>
      </c>
      <c r="C14" s="356">
        <f>SUM(C8:C12)</f>
        <v>11056</v>
      </c>
      <c r="D14" s="356">
        <f>SUM(D8:D12)</f>
        <v>5040</v>
      </c>
      <c r="E14" s="356">
        <f>SUM(E8:E12)</f>
        <v>4040</v>
      </c>
    </row>
    <row r="15" spans="2:5">
      <c r="B15" s="354" t="s">
        <v>289</v>
      </c>
      <c r="C15" s="356">
        <f>C6+C14</f>
        <v>26126</v>
      </c>
      <c r="D15" s="356">
        <f>D6+D14</f>
        <v>31166</v>
      </c>
      <c r="E15" s="356">
        <f>E6+E14</f>
        <v>35206</v>
      </c>
    </row>
    <row r="16" spans="2:5">
      <c r="B16" s="167" t="s">
        <v>291</v>
      </c>
      <c r="C16" s="346"/>
      <c r="D16" s="346"/>
      <c r="E16" s="346"/>
    </row>
    <row r="17" spans="2:5">
      <c r="B17" s="348"/>
      <c r="C17" s="106"/>
      <c r="D17" s="106"/>
      <c r="E17" s="106"/>
    </row>
    <row r="18" spans="2:5">
      <c r="B18" s="348"/>
      <c r="C18" s="106"/>
      <c r="D18" s="106"/>
      <c r="E18" s="106"/>
    </row>
    <row r="19" spans="2:5">
      <c r="B19" s="348"/>
      <c r="C19" s="106"/>
      <c r="D19" s="106"/>
      <c r="E19" s="106"/>
    </row>
    <row r="20" spans="2:5">
      <c r="B20" s="348"/>
      <c r="C20" s="106"/>
      <c r="D20" s="106"/>
      <c r="E20" s="106"/>
    </row>
    <row r="21" spans="2:5">
      <c r="B21" s="348"/>
      <c r="C21" s="106"/>
      <c r="D21" s="106"/>
      <c r="E21" s="106"/>
    </row>
    <row r="22" spans="2:5">
      <c r="B22" s="352" t="s">
        <v>182</v>
      </c>
      <c r="C22" s="106"/>
      <c r="D22" s="345"/>
      <c r="E22" s="345"/>
    </row>
    <row r="23" spans="2:5">
      <c r="B23" s="352" t="s">
        <v>667</v>
      </c>
      <c r="C23" s="548" t="str">
        <f>IF(C24*0.1&lt;C22,"Exceed 10% Rule","")</f>
        <v/>
      </c>
      <c r="D23" s="353" t="str">
        <f>IF(D24*0.1&lt;D22,"Exceed 10% Rule","")</f>
        <v/>
      </c>
      <c r="E23" s="353" t="str">
        <f>IF(E24*0.1&lt;E22,"Exceed 10% Rule","")</f>
        <v/>
      </c>
    </row>
    <row r="24" spans="2:5">
      <c r="B24" s="354" t="s">
        <v>295</v>
      </c>
      <c r="C24" s="356">
        <f>SUM(C17:C22)</f>
        <v>0</v>
      </c>
      <c r="D24" s="356">
        <f>SUM(D17:D22)</f>
        <v>0</v>
      </c>
      <c r="E24" s="356">
        <f>SUM(E17:E22)</f>
        <v>0</v>
      </c>
    </row>
    <row r="25" spans="2:5">
      <c r="B25" s="167" t="s">
        <v>58</v>
      </c>
      <c r="C25" s="119">
        <f>C15-C24</f>
        <v>26126</v>
      </c>
      <c r="D25" s="119">
        <f>D15-D24</f>
        <v>31166</v>
      </c>
      <c r="E25" s="119">
        <f>E15-E24</f>
        <v>35206</v>
      </c>
    </row>
    <row r="26" spans="2:5">
      <c r="B26" s="197" t="str">
        <f>CONCATENATE("",E1-2,"/",E1-1," Budget Authority Amount:")</f>
        <v>2012/2013 Budget Authority Amount:</v>
      </c>
      <c r="C26" s="303">
        <f>inputOth!B84</f>
        <v>0</v>
      </c>
      <c r="D26" s="303">
        <f>inputPrYr!D37</f>
        <v>0</v>
      </c>
      <c r="E26" s="547" t="str">
        <f>IF(E25&lt;0,"See Tab E","")</f>
        <v/>
      </c>
    </row>
    <row r="27" spans="2:5">
      <c r="B27" s="197"/>
      <c r="C27" s="358" t="str">
        <f>IF(C24&gt;C26,"See Tab A","")</f>
        <v/>
      </c>
      <c r="D27" s="358" t="str">
        <f>IF(D24&gt;D26,"See Tab C","")</f>
        <v/>
      </c>
      <c r="E27" s="136"/>
    </row>
    <row r="28" spans="2:5">
      <c r="B28" s="197"/>
      <c r="C28" s="358" t="str">
        <f>IF(C25&lt;0,"See Tab B","")</f>
        <v/>
      </c>
      <c r="D28" s="358" t="str">
        <f>IF(D25&lt;0,"See Tab D","")</f>
        <v/>
      </c>
      <c r="E28" s="136"/>
    </row>
    <row r="29" spans="2:5">
      <c r="B29" s="84"/>
      <c r="C29" s="136"/>
      <c r="D29" s="136"/>
      <c r="E29" s="136"/>
    </row>
    <row r="30" spans="2:5">
      <c r="B30" s="91"/>
      <c r="C30" s="363"/>
      <c r="D30" s="363"/>
      <c r="E30" s="363"/>
    </row>
    <row r="31" spans="2:5">
      <c r="B31" s="91" t="s">
        <v>282</v>
      </c>
      <c r="C31" s="293" t="s">
        <v>806</v>
      </c>
      <c r="D31" s="204" t="s">
        <v>809</v>
      </c>
      <c r="E31" s="204" t="s">
        <v>808</v>
      </c>
    </row>
    <row r="32" spans="2:5">
      <c r="B32" s="561" t="str">
        <f>inputPrYr!B38</f>
        <v>Spec. Rev. Recreation Programs</v>
      </c>
      <c r="C32" s="359" t="str">
        <f>C5</f>
        <v>Actual for 2012</v>
      </c>
      <c r="D32" s="359" t="str">
        <f>D5</f>
        <v>Estimate for 2013</v>
      </c>
      <c r="E32" s="359" t="str">
        <f>E5</f>
        <v>Year for 2014</v>
      </c>
    </row>
    <row r="33" spans="2:5">
      <c r="B33" s="360" t="s">
        <v>57</v>
      </c>
      <c r="C33" s="106">
        <v>14350</v>
      </c>
      <c r="D33" s="346">
        <f>C58</f>
        <v>21863</v>
      </c>
      <c r="E33" s="346">
        <f>D58</f>
        <v>18418</v>
      </c>
    </row>
    <row r="34" spans="2:5" s="80" customFormat="1">
      <c r="B34" s="361" t="s">
        <v>59</v>
      </c>
      <c r="C34" s="124"/>
      <c r="D34" s="124"/>
      <c r="E34" s="124"/>
    </row>
    <row r="35" spans="2:5">
      <c r="B35" s="348" t="s">
        <v>1061</v>
      </c>
      <c r="C35" s="106">
        <v>73197</v>
      </c>
      <c r="D35" s="106">
        <v>140250</v>
      </c>
      <c r="E35" s="106">
        <v>143120</v>
      </c>
    </row>
    <row r="36" spans="2:5">
      <c r="B36" s="348"/>
      <c r="C36" s="106"/>
      <c r="D36" s="106"/>
      <c r="E36" s="106"/>
    </row>
    <row r="37" spans="2:5">
      <c r="B37" s="348"/>
      <c r="C37" s="106"/>
      <c r="D37" s="106"/>
      <c r="E37" s="106"/>
    </row>
    <row r="38" spans="2:5">
      <c r="B38" s="348"/>
      <c r="C38" s="106"/>
      <c r="D38" s="106"/>
      <c r="E38" s="106"/>
    </row>
    <row r="39" spans="2:5">
      <c r="B39" s="348"/>
      <c r="C39" s="106"/>
      <c r="D39" s="106"/>
      <c r="E39" s="106"/>
    </row>
    <row r="40" spans="2:5">
      <c r="B40" s="362" t="s">
        <v>260</v>
      </c>
      <c r="C40" s="106"/>
      <c r="D40" s="106"/>
      <c r="E40" s="106"/>
    </row>
    <row r="41" spans="2:5">
      <c r="B41" s="352" t="s">
        <v>182</v>
      </c>
      <c r="C41" s="106"/>
      <c r="D41" s="345"/>
      <c r="E41" s="345"/>
    </row>
    <row r="42" spans="2:5">
      <c r="B42" s="352" t="s">
        <v>668</v>
      </c>
      <c r="C42" s="548" t="str">
        <f>IF(C43*0.1&lt;C41,"Exceed 10% Rule","")</f>
        <v/>
      </c>
      <c r="D42" s="353" t="str">
        <f>IF(D43*0.1&lt;D41,"Exceed 10% Rule","")</f>
        <v/>
      </c>
      <c r="E42" s="353" t="str">
        <f>IF(E43*0.1&lt;E41,"Exceed 10% Rule","")</f>
        <v/>
      </c>
    </row>
    <row r="43" spans="2:5">
      <c r="B43" s="354" t="s">
        <v>288</v>
      </c>
      <c r="C43" s="356">
        <f>SUM(C35:C41)</f>
        <v>73197</v>
      </c>
      <c r="D43" s="356">
        <f>SUM(D35:D41)</f>
        <v>140250</v>
      </c>
      <c r="E43" s="356">
        <f>SUM(E35:E41)</f>
        <v>143120</v>
      </c>
    </row>
    <row r="44" spans="2:5">
      <c r="B44" s="354" t="s">
        <v>289</v>
      </c>
      <c r="C44" s="356">
        <f>C33+C43</f>
        <v>87547</v>
      </c>
      <c r="D44" s="356">
        <f>D33+D43</f>
        <v>162113</v>
      </c>
      <c r="E44" s="356">
        <f>E33+E43</f>
        <v>161538</v>
      </c>
    </row>
    <row r="45" spans="2:5">
      <c r="B45" s="167" t="s">
        <v>291</v>
      </c>
      <c r="C45" s="346"/>
      <c r="D45" s="346"/>
      <c r="E45" s="346"/>
    </row>
    <row r="46" spans="2:5">
      <c r="B46" s="348" t="s">
        <v>1062</v>
      </c>
      <c r="C46" s="106">
        <v>48137</v>
      </c>
      <c r="D46" s="106">
        <v>89475</v>
      </c>
      <c r="E46" s="106">
        <v>89475</v>
      </c>
    </row>
    <row r="47" spans="2:5">
      <c r="B47" s="348" t="s">
        <v>1071</v>
      </c>
      <c r="C47" s="106">
        <v>9127</v>
      </c>
      <c r="D47" s="106">
        <v>26350</v>
      </c>
      <c r="E47" s="106">
        <v>26650</v>
      </c>
    </row>
    <row r="48" spans="2:5">
      <c r="B48" s="348" t="s">
        <v>1063</v>
      </c>
      <c r="C48" s="106">
        <v>3765</v>
      </c>
      <c r="D48" s="106">
        <v>13500</v>
      </c>
      <c r="E48" s="106">
        <v>15000</v>
      </c>
    </row>
    <row r="49" spans="2:5">
      <c r="B49" s="348" t="s">
        <v>1064</v>
      </c>
      <c r="C49" s="106">
        <v>0</v>
      </c>
      <c r="D49" s="106">
        <v>8500</v>
      </c>
      <c r="E49" s="106">
        <v>0</v>
      </c>
    </row>
    <row r="50" spans="2:5">
      <c r="B50" s="348" t="s">
        <v>1065</v>
      </c>
      <c r="C50" s="106">
        <v>0</v>
      </c>
      <c r="D50" s="106">
        <v>670</v>
      </c>
      <c r="E50" s="106">
        <v>670</v>
      </c>
    </row>
    <row r="51" spans="2:5">
      <c r="B51" s="348" t="s">
        <v>1066</v>
      </c>
      <c r="C51" s="106">
        <v>4655</v>
      </c>
      <c r="D51" s="106">
        <v>5200</v>
      </c>
      <c r="E51" s="106">
        <v>5400</v>
      </c>
    </row>
    <row r="52" spans="2:5">
      <c r="B52" s="348"/>
      <c r="C52" s="106"/>
      <c r="D52" s="106"/>
      <c r="E52" s="106"/>
    </row>
    <row r="53" spans="2:5">
      <c r="B53" s="348"/>
      <c r="C53" s="106"/>
      <c r="D53" s="106"/>
      <c r="E53" s="106"/>
    </row>
    <row r="54" spans="2:5">
      <c r="B54" s="348"/>
      <c r="C54" s="106"/>
      <c r="D54" s="106"/>
      <c r="E54" s="106"/>
    </row>
    <row r="55" spans="2:5">
      <c r="B55" s="352" t="s">
        <v>182</v>
      </c>
      <c r="C55" s="106"/>
      <c r="D55" s="345"/>
      <c r="E55" s="345"/>
    </row>
    <row r="56" spans="2:5">
      <c r="B56" s="352" t="s">
        <v>667</v>
      </c>
      <c r="C56" s="548" t="str">
        <f>IF(C57*0.1&lt;C55,"Exceed 10% Rule","")</f>
        <v/>
      </c>
      <c r="D56" s="353" t="str">
        <f>IF(D57*0.1&lt;D55,"Exceed 10% Rule","")</f>
        <v/>
      </c>
      <c r="E56" s="353" t="str">
        <f>IF(E57*0.1&lt;E55,"Exceed 10% Rule","")</f>
        <v/>
      </c>
    </row>
    <row r="57" spans="2:5">
      <c r="B57" s="354" t="s">
        <v>295</v>
      </c>
      <c r="C57" s="356">
        <f>SUM(C46:C55)</f>
        <v>65684</v>
      </c>
      <c r="D57" s="356">
        <f>SUM(D46:D55)</f>
        <v>143695</v>
      </c>
      <c r="E57" s="356">
        <f>SUM(E46:E55)</f>
        <v>137195</v>
      </c>
    </row>
    <row r="58" spans="2:5">
      <c r="B58" s="167" t="s">
        <v>58</v>
      </c>
      <c r="C58" s="119">
        <f>C44-C57</f>
        <v>21863</v>
      </c>
      <c r="D58" s="119">
        <f>D44-D57</f>
        <v>18418</v>
      </c>
      <c r="E58" s="119">
        <f>E44-E57</f>
        <v>24343</v>
      </c>
    </row>
    <row r="59" spans="2:5">
      <c r="B59" s="197" t="str">
        <f>CONCATENATE("",E1-2,"/",E1-1," Budget Authority Amount:")</f>
        <v>2012/2013 Budget Authority Amount:</v>
      </c>
      <c r="C59" s="303">
        <f>inputOth!B85</f>
        <v>68397</v>
      </c>
      <c r="D59" s="303">
        <f>inputPrYr!D38</f>
        <v>143695</v>
      </c>
      <c r="E59" s="547" t="str">
        <f>IF(E58&lt;0,"See Tab E","")</f>
        <v/>
      </c>
    </row>
    <row r="60" spans="2:5">
      <c r="B60" s="197"/>
      <c r="C60" s="358" t="str">
        <f>IF(C57&gt;C59,"See Tab A","")</f>
        <v/>
      </c>
      <c r="D60" s="358" t="str">
        <f>IF(D57&gt;D59,"See Tab C","")</f>
        <v/>
      </c>
      <c r="E60" s="84"/>
    </row>
    <row r="61" spans="2:5">
      <c r="B61" s="197"/>
      <c r="C61" s="358" t="str">
        <f>IF(C58&lt;0,"See Tab B","")</f>
        <v/>
      </c>
      <c r="D61" s="358" t="str">
        <f>IF(D58&lt;0,"See Tab D","")</f>
        <v/>
      </c>
      <c r="E61" s="84"/>
    </row>
    <row r="62" spans="2:5">
      <c r="B62" s="84"/>
      <c r="C62" s="84"/>
      <c r="D62" s="84"/>
      <c r="E62" s="84"/>
    </row>
    <row r="63" spans="2:5">
      <c r="B63" s="197" t="s">
        <v>298</v>
      </c>
      <c r="C63" s="297">
        <v>15</v>
      </c>
      <c r="D63" s="84"/>
      <c r="E63" s="84"/>
    </row>
  </sheetData>
  <phoneticPr fontId="0" type="noConversion"/>
  <conditionalFormatting sqref="C41">
    <cfRule type="cellIs" dxfId="193" priority="3" stopIfTrue="1" operator="greaterThan">
      <formula>$C$43*0.1</formula>
    </cfRule>
  </conditionalFormatting>
  <conditionalFormatting sqref="D41">
    <cfRule type="cellIs" dxfId="192" priority="4" stopIfTrue="1" operator="greaterThan">
      <formula>$D$43*0.1</formula>
    </cfRule>
  </conditionalFormatting>
  <conditionalFormatting sqref="E41">
    <cfRule type="cellIs" dxfId="191" priority="5" stopIfTrue="1" operator="greaterThan">
      <formula>$E$43*0.1</formula>
    </cfRule>
  </conditionalFormatting>
  <conditionalFormatting sqref="C55">
    <cfRule type="cellIs" dxfId="190" priority="6" stopIfTrue="1" operator="greaterThan">
      <formula>$C$57*0.1</formula>
    </cfRule>
  </conditionalFormatting>
  <conditionalFormatting sqref="D55">
    <cfRule type="cellIs" dxfId="189" priority="7" stopIfTrue="1" operator="greaterThan">
      <formula>$D$57*0.1</formula>
    </cfRule>
  </conditionalFormatting>
  <conditionalFormatting sqref="E55">
    <cfRule type="cellIs" dxfId="188" priority="8" stopIfTrue="1" operator="greaterThan">
      <formula>$E$57*0.1</formula>
    </cfRule>
  </conditionalFormatting>
  <conditionalFormatting sqref="C22">
    <cfRule type="cellIs" dxfId="187" priority="9" stopIfTrue="1" operator="greaterThan">
      <formula>$C$24*0.1</formula>
    </cfRule>
  </conditionalFormatting>
  <conditionalFormatting sqref="D22">
    <cfRule type="cellIs" dxfId="186" priority="10" stopIfTrue="1" operator="greaterThan">
      <formula>$D$24*0.1</formula>
    </cfRule>
  </conditionalFormatting>
  <conditionalFormatting sqref="E22">
    <cfRule type="cellIs" dxfId="185" priority="11" stopIfTrue="1" operator="greaterThan">
      <formula>$E$24*0.1</formula>
    </cfRule>
  </conditionalFormatting>
  <conditionalFormatting sqref="C12">
    <cfRule type="cellIs" dxfId="184" priority="12" stopIfTrue="1" operator="greaterThan">
      <formula>$C$14*0.1</formula>
    </cfRule>
  </conditionalFormatting>
  <conditionalFormatting sqref="D12">
    <cfRule type="cellIs" dxfId="183" priority="13" stopIfTrue="1" operator="greaterThan">
      <formula>$D$14*0.1</formula>
    </cfRule>
  </conditionalFormatting>
  <conditionalFormatting sqref="E12">
    <cfRule type="cellIs" dxfId="182" priority="14" stopIfTrue="1" operator="greaterThan">
      <formula>$E$14*0.1</formula>
    </cfRule>
  </conditionalFormatting>
  <conditionalFormatting sqref="E25 C25 E58 C58">
    <cfRule type="cellIs" dxfId="181" priority="15" stopIfTrue="1" operator="lessThan">
      <formula>0</formula>
    </cfRule>
  </conditionalFormatting>
  <conditionalFormatting sqref="C24">
    <cfRule type="cellIs" dxfId="180" priority="16" stopIfTrue="1" operator="greaterThan">
      <formula>$C$26</formula>
    </cfRule>
  </conditionalFormatting>
  <conditionalFormatting sqref="D24">
    <cfRule type="cellIs" dxfId="179" priority="17" stopIfTrue="1" operator="greaterThan">
      <formula>$D$26</formula>
    </cfRule>
  </conditionalFormatting>
  <conditionalFormatting sqref="C57">
    <cfRule type="cellIs" dxfId="178" priority="18" stopIfTrue="1" operator="greaterThan">
      <formula>$C$59</formula>
    </cfRule>
  </conditionalFormatting>
  <conditionalFormatting sqref="D57">
    <cfRule type="cellIs" dxfId="177" priority="19" stopIfTrue="1" operator="greaterThan">
      <formula>$D$59</formula>
    </cfRule>
  </conditionalFormatting>
  <conditionalFormatting sqref="D58">
    <cfRule type="cellIs" dxfId="176" priority="2" stopIfTrue="1" operator="lessThan">
      <formula>0</formula>
    </cfRule>
  </conditionalFormatting>
  <conditionalFormatting sqref="D25">
    <cfRule type="cellIs" dxfId="175" priority="1" stopIfTrue="1" operator="lessThan">
      <formula>0</formula>
    </cfRule>
  </conditionalFormatting>
  <pageMargins left="0.5" right="0.5" top="1" bottom="0.5" header="0.5" footer="0.5"/>
  <pageSetup scale="72" orientation="portrait" blackAndWhite="1" horizontalDpi="120" verticalDpi="144" r:id="rId1"/>
  <headerFooter alignWithMargins="0">
    <oddHeader>&amp;RState of Kansas
City</oddHeader>
  </headerFooter>
</worksheet>
</file>

<file path=xl/worksheets/sheet22.xml><?xml version="1.0" encoding="utf-8"?>
<worksheet xmlns="http://schemas.openxmlformats.org/spreadsheetml/2006/main" xmlns:r="http://schemas.openxmlformats.org/officeDocument/2006/relationships">
  <sheetPr>
    <pageSetUpPr fitToPage="1"/>
  </sheetPr>
  <dimension ref="B1:E69"/>
  <sheetViews>
    <sheetView topLeftCell="B48" workbookViewId="0">
      <selection activeCell="B29" sqref="B29"/>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inputPrYr!B39</f>
        <v>Spec. Rev. Risk Management</v>
      </c>
      <c r="C5" s="440" t="str">
        <f>CONCATENATE("Actual for ",E1-2,"")</f>
        <v>Actual for 2012</v>
      </c>
      <c r="D5" s="440" t="str">
        <f>CONCATENATE("Estimate for ",E1-1,"")</f>
        <v>Estimate for 2013</v>
      </c>
      <c r="E5" s="268" t="str">
        <f>CONCATENATE("Year for ",E1,"")</f>
        <v>Year for 2014</v>
      </c>
    </row>
    <row r="6" spans="2:5">
      <c r="B6" s="360" t="s">
        <v>57</v>
      </c>
      <c r="C6" s="106">
        <v>140714</v>
      </c>
      <c r="D6" s="346">
        <f>C31</f>
        <v>146773</v>
      </c>
      <c r="E6" s="346">
        <f>D31</f>
        <v>141734</v>
      </c>
    </row>
    <row r="7" spans="2:5" s="80" customFormat="1">
      <c r="B7" s="361" t="s">
        <v>59</v>
      </c>
      <c r="C7" s="124"/>
      <c r="D7" s="124"/>
      <c r="E7" s="124"/>
    </row>
    <row r="8" spans="2:5">
      <c r="B8" s="348" t="s">
        <v>1069</v>
      </c>
      <c r="C8" s="106">
        <v>15697</v>
      </c>
      <c r="D8" s="106">
        <v>2267</v>
      </c>
      <c r="E8" s="106">
        <v>0</v>
      </c>
    </row>
    <row r="9" spans="2:5">
      <c r="B9" s="348" t="s">
        <v>331</v>
      </c>
      <c r="C9" s="106">
        <v>406</v>
      </c>
      <c r="D9" s="106">
        <v>200</v>
      </c>
      <c r="E9" s="106">
        <v>200</v>
      </c>
    </row>
    <row r="10" spans="2:5">
      <c r="B10" s="348"/>
      <c r="C10" s="106"/>
      <c r="D10" s="106"/>
      <c r="E10" s="106"/>
    </row>
    <row r="11" spans="2:5">
      <c r="B11" s="348"/>
      <c r="C11" s="106"/>
      <c r="D11" s="106"/>
      <c r="E11" s="106"/>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16103</v>
      </c>
      <c r="D16" s="356">
        <f>SUM(D8:D14)</f>
        <v>2467</v>
      </c>
      <c r="E16" s="356">
        <f>SUM(E8:E14)</f>
        <v>200</v>
      </c>
    </row>
    <row r="17" spans="2:5">
      <c r="B17" s="354" t="s">
        <v>289</v>
      </c>
      <c r="C17" s="356">
        <f>C6+C16</f>
        <v>156817</v>
      </c>
      <c r="D17" s="356">
        <f>D6+D16</f>
        <v>149240</v>
      </c>
      <c r="E17" s="356">
        <f>E6+E16</f>
        <v>141934</v>
      </c>
    </row>
    <row r="18" spans="2:5">
      <c r="B18" s="167" t="s">
        <v>291</v>
      </c>
      <c r="C18" s="346"/>
      <c r="D18" s="346"/>
      <c r="E18" s="346"/>
    </row>
    <row r="19" spans="2:5">
      <c r="B19" s="348" t="s">
        <v>1071</v>
      </c>
      <c r="C19" s="106">
        <v>7522</v>
      </c>
      <c r="D19" s="106">
        <v>7506</v>
      </c>
      <c r="E19" s="106">
        <v>141934</v>
      </c>
    </row>
    <row r="20" spans="2:5">
      <c r="B20" s="348" t="s">
        <v>1063</v>
      </c>
      <c r="C20" s="106">
        <v>0</v>
      </c>
      <c r="D20" s="106">
        <v>0</v>
      </c>
      <c r="E20" s="106">
        <v>0</v>
      </c>
    </row>
    <row r="21" spans="2:5">
      <c r="B21" s="348" t="s">
        <v>1064</v>
      </c>
      <c r="C21" s="106">
        <v>2522</v>
      </c>
      <c r="D21" s="106">
        <v>0</v>
      </c>
      <c r="E21" s="106">
        <v>0</v>
      </c>
    </row>
    <row r="22" spans="2:5">
      <c r="B22" s="348"/>
      <c r="C22" s="106"/>
      <c r="D22" s="106"/>
      <c r="E22" s="106"/>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10044</v>
      </c>
      <c r="D30" s="356">
        <f>SUM(D19:D28)</f>
        <v>7506</v>
      </c>
      <c r="E30" s="356">
        <f>SUM(E19:E28)</f>
        <v>141934</v>
      </c>
    </row>
    <row r="31" spans="2:5">
      <c r="B31" s="167" t="s">
        <v>58</v>
      </c>
      <c r="C31" s="119">
        <f>C17-C30</f>
        <v>146773</v>
      </c>
      <c r="D31" s="119">
        <f>D17-D30</f>
        <v>141734</v>
      </c>
      <c r="E31" s="119">
        <f>E17-E30</f>
        <v>0</v>
      </c>
    </row>
    <row r="32" spans="2:5">
      <c r="B32" s="197" t="str">
        <f>CONCATENATE("",E1-2,"/",E1-1," Budget Authority Amount:")</f>
        <v>2012/2013 Budget Authority Amount:</v>
      </c>
      <c r="C32" s="303">
        <f>inputOth!B86</f>
        <v>98386</v>
      </c>
      <c r="D32" s="303">
        <f>inputPrYr!D39</f>
        <v>134289</v>
      </c>
      <c r="E32" s="547" t="str">
        <f>IF(E31&lt;0,"See Tab E","")</f>
        <v/>
      </c>
    </row>
    <row r="33" spans="2:5">
      <c r="B33" s="197"/>
      <c r="C33" s="358" t="str">
        <f>IF(C30&gt;C32,"See Tab A","")</f>
        <v/>
      </c>
      <c r="D33" s="358" t="str">
        <f>IF(D30&gt;D32,"See Tab C","")</f>
        <v/>
      </c>
      <c r="E33" s="136"/>
    </row>
    <row r="34" spans="2:5">
      <c r="B34" s="1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inputPrYr!B40</f>
        <v>Spec. Rev. Senior Center</v>
      </c>
      <c r="C38" s="359" t="str">
        <f>C5</f>
        <v>Actual for 2012</v>
      </c>
      <c r="D38" s="359" t="str">
        <f>D5</f>
        <v>Estimate for 2013</v>
      </c>
      <c r="E38" s="359" t="str">
        <f>E5</f>
        <v>Year for 2014</v>
      </c>
    </row>
    <row r="39" spans="2:5">
      <c r="B39" s="360" t="s">
        <v>57</v>
      </c>
      <c r="C39" s="106">
        <v>0</v>
      </c>
      <c r="D39" s="346">
        <f>C64</f>
        <v>-30</v>
      </c>
      <c r="E39" s="346">
        <f>D64</f>
        <v>0</v>
      </c>
    </row>
    <row r="40" spans="2:5" s="80" customFormat="1">
      <c r="B40" s="361" t="s">
        <v>59</v>
      </c>
      <c r="C40" s="124"/>
      <c r="D40" s="124"/>
      <c r="E40" s="124"/>
    </row>
    <row r="41" spans="2:5">
      <c r="B41" s="348" t="s">
        <v>1160</v>
      </c>
      <c r="C41" s="106">
        <v>6450</v>
      </c>
      <c r="D41" s="106">
        <v>6450</v>
      </c>
      <c r="E41" s="106">
        <v>6450</v>
      </c>
    </row>
    <row r="42" spans="2:5">
      <c r="B42" s="348" t="s">
        <v>1156</v>
      </c>
      <c r="C42" s="106">
        <v>10</v>
      </c>
      <c r="D42" s="106">
        <v>30</v>
      </c>
      <c r="E42" s="106">
        <v>0</v>
      </c>
    </row>
    <row r="43" spans="2:5">
      <c r="B43" s="348" t="s">
        <v>1130</v>
      </c>
      <c r="C43" s="106">
        <v>36637</v>
      </c>
      <c r="D43" s="106">
        <v>41000</v>
      </c>
      <c r="E43" s="106">
        <v>41830</v>
      </c>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43097</v>
      </c>
      <c r="D49" s="356">
        <f>SUM(D41:D47)</f>
        <v>47480</v>
      </c>
      <c r="E49" s="356">
        <f>SUM(E41:E47)</f>
        <v>48280</v>
      </c>
    </row>
    <row r="50" spans="2:5">
      <c r="B50" s="354" t="s">
        <v>289</v>
      </c>
      <c r="C50" s="356">
        <f>C39+C49</f>
        <v>43097</v>
      </c>
      <c r="D50" s="356">
        <f>D39+D49</f>
        <v>47450</v>
      </c>
      <c r="E50" s="356">
        <f>E39+E49</f>
        <v>48280</v>
      </c>
    </row>
    <row r="51" spans="2:5">
      <c r="B51" s="167" t="s">
        <v>291</v>
      </c>
      <c r="C51" s="346"/>
      <c r="D51" s="346"/>
      <c r="E51" s="346"/>
    </row>
    <row r="52" spans="2:5">
      <c r="B52" s="348" t="s">
        <v>1062</v>
      </c>
      <c r="C52" s="106">
        <v>36537</v>
      </c>
      <c r="D52" s="106">
        <v>38370</v>
      </c>
      <c r="E52" s="106">
        <v>40350</v>
      </c>
    </row>
    <row r="53" spans="2:5">
      <c r="B53" s="348" t="s">
        <v>1071</v>
      </c>
      <c r="C53" s="106">
        <v>4498</v>
      </c>
      <c r="D53" s="106">
        <v>5830</v>
      </c>
      <c r="E53" s="106">
        <v>5330</v>
      </c>
    </row>
    <row r="54" spans="2:5">
      <c r="B54" s="348" t="s">
        <v>1063</v>
      </c>
      <c r="C54" s="106">
        <v>2092</v>
      </c>
      <c r="D54" s="106">
        <v>3250</v>
      </c>
      <c r="E54" s="106">
        <v>2600</v>
      </c>
    </row>
    <row r="55" spans="2:5">
      <c r="B55" s="348" t="s">
        <v>1064</v>
      </c>
      <c r="C55" s="106">
        <v>0</v>
      </c>
      <c r="D55" s="106">
        <v>0</v>
      </c>
      <c r="E55" s="106">
        <v>0</v>
      </c>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354" t="s">
        <v>295</v>
      </c>
      <c r="C63" s="356">
        <f>SUM(C52:C61)</f>
        <v>43127</v>
      </c>
      <c r="D63" s="356">
        <f>SUM(D52:D61)</f>
        <v>47450</v>
      </c>
      <c r="E63" s="356">
        <f>SUM(E52:E61)</f>
        <v>48280</v>
      </c>
    </row>
    <row r="64" spans="2:5">
      <c r="B64" s="167" t="s">
        <v>58</v>
      </c>
      <c r="C64" s="119">
        <f>C50-C63</f>
        <v>-30</v>
      </c>
      <c r="D64" s="119">
        <f>D50-D63</f>
        <v>0</v>
      </c>
      <c r="E64" s="119">
        <f>E50-E63</f>
        <v>0</v>
      </c>
    </row>
    <row r="65" spans="2:5">
      <c r="B65" s="197" t="str">
        <f>CONCATENATE("",E1-2,"/",E1-1," Budget Authority Amount:")</f>
        <v>2012/2013 Budget Authority Amount:</v>
      </c>
      <c r="C65" s="303">
        <f>inputOth!B87</f>
        <v>50574</v>
      </c>
      <c r="D65" s="303">
        <f>inputPrYr!D40</f>
        <v>47450</v>
      </c>
      <c r="E65" s="547" t="str">
        <f>IF(E64&lt;0,"See Tab E","")</f>
        <v/>
      </c>
    </row>
    <row r="66" spans="2:5">
      <c r="B66" s="197"/>
      <c r="C66" s="358" t="str">
        <f>IF(C63&gt;C65,"See Tab A","")</f>
        <v/>
      </c>
      <c r="D66" s="358" t="str">
        <f>IF(D63&gt;D65,"See Tab C","")</f>
        <v/>
      </c>
      <c r="E66" s="84"/>
    </row>
    <row r="67" spans="2:5">
      <c r="B67" s="197"/>
      <c r="C67" s="358" t="str">
        <f>IF(C64&lt;0,"See Tab B","")</f>
        <v>See Tab B</v>
      </c>
      <c r="D67" s="358" t="str">
        <f>IF(D64&lt;0,"See Tab D","")</f>
        <v/>
      </c>
      <c r="E67" s="84"/>
    </row>
    <row r="68" spans="2:5">
      <c r="B68" s="84"/>
      <c r="C68" s="84"/>
      <c r="D68" s="84"/>
      <c r="E68" s="84"/>
    </row>
    <row r="69" spans="2:5">
      <c r="B69" s="197" t="s">
        <v>298</v>
      </c>
      <c r="C69" s="297">
        <v>16</v>
      </c>
      <c r="D69" s="84"/>
      <c r="E69" s="84"/>
    </row>
  </sheetData>
  <conditionalFormatting sqref="C47">
    <cfRule type="cellIs" dxfId="174" priority="19" stopIfTrue="1" operator="greaterThan">
      <formula>$C$49*0.1</formula>
    </cfRule>
  </conditionalFormatting>
  <conditionalFormatting sqref="D47">
    <cfRule type="cellIs" dxfId="173" priority="18" stopIfTrue="1" operator="greaterThan">
      <formula>$D$49*0.1</formula>
    </cfRule>
  </conditionalFormatting>
  <conditionalFormatting sqref="E47">
    <cfRule type="cellIs" dxfId="172" priority="17" stopIfTrue="1" operator="greaterThan">
      <formula>$E$49*0.1</formula>
    </cfRule>
  </conditionalFormatting>
  <conditionalFormatting sqref="C61">
    <cfRule type="cellIs" dxfId="171" priority="16" stopIfTrue="1" operator="greaterThan">
      <formula>$C$63*0.1</formula>
    </cfRule>
  </conditionalFormatting>
  <conditionalFormatting sqref="D61">
    <cfRule type="cellIs" dxfId="170" priority="15" stopIfTrue="1" operator="greaterThan">
      <formula>$D$63*0.1</formula>
    </cfRule>
  </conditionalFormatting>
  <conditionalFormatting sqref="E61">
    <cfRule type="cellIs" dxfId="169" priority="14" stopIfTrue="1" operator="greaterThan">
      <formula>$E$63*0.1</formula>
    </cfRule>
  </conditionalFormatting>
  <conditionalFormatting sqref="C28">
    <cfRule type="cellIs" dxfId="168" priority="13" stopIfTrue="1" operator="greaterThan">
      <formula>$C$30*0.1</formula>
    </cfRule>
  </conditionalFormatting>
  <conditionalFormatting sqref="D28">
    <cfRule type="cellIs" dxfId="167" priority="12" stopIfTrue="1" operator="greaterThan">
      <formula>$D$30*0.1</formula>
    </cfRule>
  </conditionalFormatting>
  <conditionalFormatting sqref="E28">
    <cfRule type="cellIs" dxfId="166" priority="11" stopIfTrue="1" operator="greaterThan">
      <formula>$E$30*0.1</formula>
    </cfRule>
  </conditionalFormatting>
  <conditionalFormatting sqref="C14">
    <cfRule type="cellIs" dxfId="165" priority="10" stopIfTrue="1" operator="greaterThan">
      <formula>$C$16*0.1</formula>
    </cfRule>
  </conditionalFormatting>
  <conditionalFormatting sqref="D14">
    <cfRule type="cellIs" dxfId="164" priority="9" stopIfTrue="1" operator="greaterThan">
      <formula>$D$16*0.1</formula>
    </cfRule>
  </conditionalFormatting>
  <conditionalFormatting sqref="E14">
    <cfRule type="cellIs" dxfId="163" priority="8" stopIfTrue="1" operator="greaterThan">
      <formula>$E$16*0.1</formula>
    </cfRule>
  </conditionalFormatting>
  <conditionalFormatting sqref="E31 C31 E64 C64">
    <cfRule type="cellIs" dxfId="162" priority="7" stopIfTrue="1" operator="lessThan">
      <formula>0</formula>
    </cfRule>
  </conditionalFormatting>
  <conditionalFormatting sqref="C30">
    <cfRule type="cellIs" dxfId="161" priority="6" stopIfTrue="1" operator="greaterThan">
      <formula>$C$32</formula>
    </cfRule>
  </conditionalFormatting>
  <conditionalFormatting sqref="D30">
    <cfRule type="cellIs" dxfId="160" priority="5" stopIfTrue="1" operator="greaterThan">
      <formula>$D$32</formula>
    </cfRule>
  </conditionalFormatting>
  <conditionalFormatting sqref="C63">
    <cfRule type="cellIs" dxfId="159" priority="4" stopIfTrue="1" operator="greaterThan">
      <formula>$C$65</formula>
    </cfRule>
  </conditionalFormatting>
  <conditionalFormatting sqref="D63">
    <cfRule type="cellIs" dxfId="158" priority="3" stopIfTrue="1" operator="greaterThan">
      <formula>$D$65</formula>
    </cfRule>
  </conditionalFormatting>
  <conditionalFormatting sqref="D64">
    <cfRule type="cellIs" dxfId="157" priority="2" stopIfTrue="1" operator="lessThan">
      <formula>0</formula>
    </cfRule>
  </conditionalFormatting>
  <conditionalFormatting sqref="D31">
    <cfRule type="cellIs" dxfId="156" priority="1" stopIfTrue="1" operator="lessThan">
      <formula>0</formula>
    </cfRule>
  </conditionalFormatting>
  <pageMargins left="0.7" right="0.7" top="0.75" bottom="0.75" header="0.3" footer="0.3"/>
  <pageSetup scale="72" orientation="portrait" blackAndWhite="1" r:id="rId1"/>
</worksheet>
</file>

<file path=xl/worksheets/sheet23.xml><?xml version="1.0" encoding="utf-8"?>
<worksheet xmlns="http://schemas.openxmlformats.org/spreadsheetml/2006/main" xmlns:r="http://schemas.openxmlformats.org/officeDocument/2006/relationships">
  <dimension ref="B1:E63"/>
  <sheetViews>
    <sheetView topLeftCell="A42" workbookViewId="0">
      <selection activeCell="B29" sqref="B29"/>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inputPrYr!B41</f>
        <v>Spec. Rev. Sidewalk Escrow</v>
      </c>
      <c r="C5" s="440" t="str">
        <f>CONCATENATE("Actual for ",E1-2,"")</f>
        <v>Actual for 2012</v>
      </c>
      <c r="D5" s="440" t="str">
        <f>CONCATENATE("Estimate for ",E1-1,"")</f>
        <v>Estimate for 2013</v>
      </c>
      <c r="E5" s="268" t="str">
        <f>CONCATENATE("Year for ",E1,"")</f>
        <v>Year for 2014</v>
      </c>
    </row>
    <row r="6" spans="2:5">
      <c r="B6" s="360" t="s">
        <v>57</v>
      </c>
      <c r="C6" s="106">
        <v>34193</v>
      </c>
      <c r="D6" s="346">
        <f>C31</f>
        <v>34286</v>
      </c>
      <c r="E6" s="346">
        <f>D31</f>
        <v>34346</v>
      </c>
    </row>
    <row r="7" spans="2:5" s="80" customFormat="1">
      <c r="B7" s="361" t="s">
        <v>59</v>
      </c>
      <c r="C7" s="124"/>
      <c r="D7" s="124"/>
      <c r="E7" s="124"/>
    </row>
    <row r="8" spans="2:5">
      <c r="B8" s="348" t="s">
        <v>1161</v>
      </c>
      <c r="C8" s="106">
        <v>0</v>
      </c>
      <c r="D8" s="106">
        <v>0</v>
      </c>
      <c r="E8" s="106">
        <v>0</v>
      </c>
    </row>
    <row r="9" spans="2:5">
      <c r="B9" s="348" t="s">
        <v>331</v>
      </c>
      <c r="C9" s="106">
        <v>93</v>
      </c>
      <c r="D9" s="106">
        <v>60</v>
      </c>
      <c r="E9" s="106">
        <v>50</v>
      </c>
    </row>
    <row r="10" spans="2:5">
      <c r="B10" s="348"/>
      <c r="C10" s="106"/>
      <c r="D10" s="106"/>
      <c r="E10" s="106"/>
    </row>
    <row r="11" spans="2:5">
      <c r="B11" s="348"/>
      <c r="C11" s="106"/>
      <c r="D11" s="106"/>
      <c r="E11" s="106"/>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93</v>
      </c>
      <c r="D16" s="356">
        <f>SUM(D8:D14)</f>
        <v>60</v>
      </c>
      <c r="E16" s="356">
        <f>SUM(E8:E14)</f>
        <v>50</v>
      </c>
    </row>
    <row r="17" spans="2:5">
      <c r="B17" s="354" t="s">
        <v>289</v>
      </c>
      <c r="C17" s="356">
        <f>C6+C16</f>
        <v>34286</v>
      </c>
      <c r="D17" s="356">
        <f>D6+D16</f>
        <v>34346</v>
      </c>
      <c r="E17" s="356">
        <f>E6+E16</f>
        <v>34396</v>
      </c>
    </row>
    <row r="18" spans="2:5">
      <c r="B18" s="167" t="s">
        <v>291</v>
      </c>
      <c r="C18" s="346"/>
      <c r="D18" s="346"/>
      <c r="E18" s="346"/>
    </row>
    <row r="19" spans="2:5">
      <c r="B19" s="348" t="s">
        <v>1162</v>
      </c>
      <c r="C19" s="106">
        <v>0</v>
      </c>
      <c r="D19" s="106">
        <v>0</v>
      </c>
      <c r="E19" s="106">
        <v>34396</v>
      </c>
    </row>
    <row r="20" spans="2:5">
      <c r="B20" s="348"/>
      <c r="C20" s="106"/>
      <c r="D20" s="106"/>
      <c r="E20" s="106"/>
    </row>
    <row r="21" spans="2:5">
      <c r="B21" s="348"/>
      <c r="C21" s="106"/>
      <c r="D21" s="106"/>
      <c r="E21" s="106"/>
    </row>
    <row r="22" spans="2:5">
      <c r="B22" s="348"/>
      <c r="C22" s="106"/>
      <c r="D22" s="106"/>
      <c r="E22" s="106"/>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0</v>
      </c>
      <c r="D30" s="356">
        <f>SUM(D19:D28)</f>
        <v>0</v>
      </c>
      <c r="E30" s="356">
        <f>SUM(E19:E28)</f>
        <v>34396</v>
      </c>
    </row>
    <row r="31" spans="2:5">
      <c r="B31" s="167" t="s">
        <v>58</v>
      </c>
      <c r="C31" s="119">
        <f>C17-C30</f>
        <v>34286</v>
      </c>
      <c r="D31" s="119">
        <f>D17-D30</f>
        <v>34346</v>
      </c>
      <c r="E31" s="119">
        <f>E17-E30</f>
        <v>0</v>
      </c>
    </row>
    <row r="32" spans="2:5">
      <c r="B32" s="797" t="str">
        <f>CONCATENATE("",E1-2,"/",E1-1," Budget Authority Amount:")</f>
        <v>2012/2013 Budget Authority Amount:</v>
      </c>
      <c r="C32" s="303">
        <f>inputOth!B88</f>
        <v>34296</v>
      </c>
      <c r="D32" s="303">
        <f>inputPrYr!D41</f>
        <v>34383</v>
      </c>
      <c r="E32" s="547" t="str">
        <f>IF(E31&lt;0,"See Tab E","")</f>
        <v/>
      </c>
    </row>
    <row r="33" spans="2:5">
      <c r="B33" s="797"/>
      <c r="C33" s="358" t="str">
        <f>IF(C30&gt;C32,"See Tab A","")</f>
        <v/>
      </c>
      <c r="D33" s="358" t="str">
        <f>IF(D30&gt;D32,"See Tab C","")</f>
        <v/>
      </c>
      <c r="E33" s="136"/>
    </row>
    <row r="34" spans="2:5">
      <c r="B34" s="7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inputPrYr!B42</f>
        <v>Spec. Rev. Soccer</v>
      </c>
      <c r="C38" s="359" t="str">
        <f>C5</f>
        <v>Actual for 2012</v>
      </c>
      <c r="D38" s="359" t="str">
        <f>D5</f>
        <v>Estimate for 2013</v>
      </c>
      <c r="E38" s="359" t="str">
        <f>E5</f>
        <v>Year for 2014</v>
      </c>
    </row>
    <row r="39" spans="2:5">
      <c r="B39" s="360" t="s">
        <v>57</v>
      </c>
      <c r="C39" s="106">
        <v>0</v>
      </c>
      <c r="D39" s="346">
        <f>C58</f>
        <v>0</v>
      </c>
      <c r="E39" s="346">
        <f>D58</f>
        <v>190</v>
      </c>
    </row>
    <row r="40" spans="2:5" s="80" customFormat="1">
      <c r="B40" s="361" t="s">
        <v>59</v>
      </c>
      <c r="C40" s="124"/>
      <c r="D40" s="124"/>
      <c r="E40" s="124"/>
    </row>
    <row r="41" spans="2:5">
      <c r="B41" s="348" t="s">
        <v>1074</v>
      </c>
      <c r="C41" s="106">
        <v>7262</v>
      </c>
      <c r="D41" s="106">
        <v>0</v>
      </c>
      <c r="E41" s="106">
        <v>0</v>
      </c>
    </row>
    <row r="42" spans="2:5">
      <c r="B42" s="348" t="s">
        <v>1072</v>
      </c>
      <c r="C42" s="106">
        <v>10841</v>
      </c>
      <c r="D42" s="106">
        <v>12000</v>
      </c>
      <c r="E42" s="106">
        <v>12000</v>
      </c>
    </row>
    <row r="43" spans="2:5">
      <c r="B43" s="348" t="s">
        <v>1073</v>
      </c>
      <c r="C43" s="106">
        <v>20</v>
      </c>
      <c r="D43" s="106">
        <v>0</v>
      </c>
      <c r="E43" s="106">
        <v>0</v>
      </c>
    </row>
    <row r="44" spans="2:5">
      <c r="B44" s="352" t="s">
        <v>182</v>
      </c>
      <c r="C44" s="106"/>
      <c r="D44" s="345"/>
      <c r="E44" s="345"/>
    </row>
    <row r="45" spans="2:5">
      <c r="B45" s="352" t="s">
        <v>668</v>
      </c>
      <c r="C45" s="548" t="str">
        <f>IF(C46*0.1&lt;C44,"Exceed 10% Rule","")</f>
        <v/>
      </c>
      <c r="D45" s="353" t="str">
        <f>IF(D46*0.1&lt;D44,"Exceed 10% Rule","")</f>
        <v/>
      </c>
      <c r="E45" s="353" t="str">
        <f>IF(E46*0.1&lt;E44,"Exceed 10% Rule","")</f>
        <v/>
      </c>
    </row>
    <row r="46" spans="2:5">
      <c r="B46" s="354" t="s">
        <v>288</v>
      </c>
      <c r="C46" s="356">
        <f>SUM(C41:C44)</f>
        <v>18123</v>
      </c>
      <c r="D46" s="356">
        <f>SUM(D41:D44)</f>
        <v>12000</v>
      </c>
      <c r="E46" s="356">
        <f>SUM(E41:E44)</f>
        <v>12000</v>
      </c>
    </row>
    <row r="47" spans="2:5">
      <c r="B47" s="354" t="s">
        <v>289</v>
      </c>
      <c r="C47" s="356">
        <f>C39+C46</f>
        <v>18123</v>
      </c>
      <c r="D47" s="356">
        <f>D39+D46</f>
        <v>12000</v>
      </c>
      <c r="E47" s="356">
        <f>E39+E46</f>
        <v>12190</v>
      </c>
    </row>
    <row r="48" spans="2:5">
      <c r="B48" s="167" t="s">
        <v>291</v>
      </c>
      <c r="C48" s="346"/>
      <c r="D48" s="346"/>
      <c r="E48" s="346"/>
    </row>
    <row r="49" spans="2:5">
      <c r="B49" s="348" t="s">
        <v>1062</v>
      </c>
      <c r="C49" s="106">
        <v>819</v>
      </c>
      <c r="D49" s="106">
        <v>560</v>
      </c>
      <c r="E49" s="106">
        <v>1005</v>
      </c>
    </row>
    <row r="50" spans="2:5">
      <c r="B50" s="348" t="s">
        <v>1071</v>
      </c>
      <c r="C50" s="106">
        <v>13477</v>
      </c>
      <c r="D50" s="106">
        <v>6200</v>
      </c>
      <c r="E50" s="106">
        <v>6100</v>
      </c>
    </row>
    <row r="51" spans="2:5">
      <c r="B51" s="348" t="s">
        <v>1063</v>
      </c>
      <c r="C51" s="106">
        <v>3827</v>
      </c>
      <c r="D51" s="106">
        <v>5050</v>
      </c>
      <c r="E51" s="106">
        <v>4350</v>
      </c>
    </row>
    <row r="52" spans="2:5">
      <c r="B52" s="348"/>
      <c r="C52" s="106"/>
      <c r="D52" s="106"/>
      <c r="E52" s="106"/>
    </row>
    <row r="53" spans="2:5">
      <c r="B53" s="348"/>
      <c r="C53" s="106"/>
      <c r="D53" s="106"/>
      <c r="E53" s="106"/>
    </row>
    <row r="54" spans="2:5">
      <c r="B54" s="348"/>
      <c r="C54" s="106"/>
      <c r="D54" s="106"/>
      <c r="E54" s="106"/>
    </row>
    <row r="55" spans="2:5">
      <c r="B55" s="352" t="s">
        <v>182</v>
      </c>
      <c r="C55" s="106"/>
      <c r="D55" s="345"/>
      <c r="E55" s="345"/>
    </row>
    <row r="56" spans="2:5">
      <c r="B56" s="352" t="s">
        <v>667</v>
      </c>
      <c r="C56" s="548" t="str">
        <f>IF(C57*0.1&lt;C55,"Exceed 10% Rule","")</f>
        <v/>
      </c>
      <c r="D56" s="353" t="str">
        <f>IF(D57*0.1&lt;D55,"Exceed 10% Rule","")</f>
        <v/>
      </c>
      <c r="E56" s="353" t="str">
        <f>IF(E57*0.1&lt;E55,"Exceed 10% Rule","")</f>
        <v/>
      </c>
    </row>
    <row r="57" spans="2:5">
      <c r="B57" s="354" t="s">
        <v>295</v>
      </c>
      <c r="C57" s="356">
        <f>SUM(C49:C55)</f>
        <v>18123</v>
      </c>
      <c r="D57" s="356">
        <f>SUM(D49:D55)</f>
        <v>11810</v>
      </c>
      <c r="E57" s="356">
        <f>SUM(E49:E55)</f>
        <v>11455</v>
      </c>
    </row>
    <row r="58" spans="2:5">
      <c r="B58" s="167" t="s">
        <v>58</v>
      </c>
      <c r="C58" s="119">
        <f>C47-C57</f>
        <v>0</v>
      </c>
      <c r="D58" s="119">
        <f>D47-D57</f>
        <v>190</v>
      </c>
      <c r="E58" s="119">
        <f>E47-E57</f>
        <v>735</v>
      </c>
    </row>
    <row r="59" spans="2:5">
      <c r="B59" s="797" t="str">
        <f>CONCATENATE("",E1-2,"/",E1-1," Budget Authority Amount:")</f>
        <v>2012/2013 Budget Authority Amount:</v>
      </c>
      <c r="C59" s="303">
        <f>inputOth!B89</f>
        <v>18175</v>
      </c>
      <c r="D59" s="303">
        <f>inputPrYr!D42</f>
        <v>11810</v>
      </c>
      <c r="E59" s="547" t="str">
        <f>IF(E58&lt;0,"See Tab E","")</f>
        <v/>
      </c>
    </row>
    <row r="60" spans="2:5">
      <c r="B60" s="797"/>
      <c r="C60" s="358" t="str">
        <f>IF(C57&gt;C59,"See Tab A","")</f>
        <v/>
      </c>
      <c r="D60" s="358" t="str">
        <f>IF(D57&gt;D59,"See Tab C","")</f>
        <v/>
      </c>
      <c r="E60" s="84"/>
    </row>
    <row r="61" spans="2:5">
      <c r="B61" s="797"/>
      <c r="C61" s="358" t="str">
        <f>IF(C58&lt;0,"See Tab B","")</f>
        <v/>
      </c>
      <c r="D61" s="358" t="str">
        <f>IF(D58&lt;0,"See Tab D","")</f>
        <v/>
      </c>
      <c r="E61" s="84"/>
    </row>
    <row r="62" spans="2:5">
      <c r="B62" s="84"/>
      <c r="C62" s="84"/>
      <c r="D62" s="84"/>
      <c r="E62" s="84"/>
    </row>
    <row r="63" spans="2:5">
      <c r="B63" s="797" t="s">
        <v>298</v>
      </c>
      <c r="C63" s="297">
        <v>17</v>
      </c>
      <c r="D63" s="84"/>
      <c r="E63" s="84"/>
    </row>
  </sheetData>
  <conditionalFormatting sqref="C44">
    <cfRule type="cellIs" dxfId="155" priority="19" stopIfTrue="1" operator="greaterThan">
      <formula>$C$46*0.1</formula>
    </cfRule>
  </conditionalFormatting>
  <conditionalFormatting sqref="D44">
    <cfRule type="cellIs" dxfId="154" priority="18" stopIfTrue="1" operator="greaterThan">
      <formula>$D$46*0.1</formula>
    </cfRule>
  </conditionalFormatting>
  <conditionalFormatting sqref="E44">
    <cfRule type="cellIs" dxfId="153" priority="17" stopIfTrue="1" operator="greaterThan">
      <formula>$E$46*0.1</formula>
    </cfRule>
  </conditionalFormatting>
  <conditionalFormatting sqref="C55">
    <cfRule type="cellIs" dxfId="152" priority="16" stopIfTrue="1" operator="greaterThan">
      <formula>$C$57*0.1</formula>
    </cfRule>
  </conditionalFormatting>
  <conditionalFormatting sqref="D55">
    <cfRule type="cellIs" dxfId="151" priority="15" stopIfTrue="1" operator="greaterThan">
      <formula>$D$57*0.1</formula>
    </cfRule>
  </conditionalFormatting>
  <conditionalFormatting sqref="E55">
    <cfRule type="cellIs" dxfId="150" priority="14" stopIfTrue="1" operator="greaterThan">
      <formula>$E$57*0.1</formula>
    </cfRule>
  </conditionalFormatting>
  <conditionalFormatting sqref="C28">
    <cfRule type="cellIs" dxfId="149" priority="13" stopIfTrue="1" operator="greaterThan">
      <formula>$C$30*0.1</formula>
    </cfRule>
  </conditionalFormatting>
  <conditionalFormatting sqref="D28">
    <cfRule type="cellIs" dxfId="148" priority="12" stopIfTrue="1" operator="greaterThan">
      <formula>$D$30*0.1</formula>
    </cfRule>
  </conditionalFormatting>
  <conditionalFormatting sqref="E28">
    <cfRule type="cellIs" dxfId="147" priority="11" stopIfTrue="1" operator="greaterThan">
      <formula>$E$30*0.1</formula>
    </cfRule>
  </conditionalFormatting>
  <conditionalFormatting sqref="C14">
    <cfRule type="cellIs" dxfId="146" priority="10" stopIfTrue="1" operator="greaterThan">
      <formula>$C$16*0.1</formula>
    </cfRule>
  </conditionalFormatting>
  <conditionalFormatting sqref="D14">
    <cfRule type="cellIs" dxfId="145" priority="9" stopIfTrue="1" operator="greaterThan">
      <formula>$D$16*0.1</formula>
    </cfRule>
  </conditionalFormatting>
  <conditionalFormatting sqref="E14">
    <cfRule type="cellIs" dxfId="144" priority="8" stopIfTrue="1" operator="greaterThan">
      <formula>$E$16*0.1</formula>
    </cfRule>
  </conditionalFormatting>
  <conditionalFormatting sqref="E31 C31 E58 C58">
    <cfRule type="cellIs" dxfId="143" priority="7" stopIfTrue="1" operator="lessThan">
      <formula>0</formula>
    </cfRule>
  </conditionalFormatting>
  <conditionalFormatting sqref="C30">
    <cfRule type="cellIs" dxfId="142" priority="6" stopIfTrue="1" operator="greaterThan">
      <formula>$C$32</formula>
    </cfRule>
  </conditionalFormatting>
  <conditionalFormatting sqref="D30">
    <cfRule type="cellIs" dxfId="141" priority="5" stopIfTrue="1" operator="greaterThan">
      <formula>$D$32</formula>
    </cfRule>
  </conditionalFormatting>
  <conditionalFormatting sqref="C57">
    <cfRule type="cellIs" dxfId="140" priority="4" stopIfTrue="1" operator="greaterThan">
      <formula>$C$59</formula>
    </cfRule>
  </conditionalFormatting>
  <conditionalFormatting sqref="D57">
    <cfRule type="cellIs" dxfId="139" priority="3" stopIfTrue="1" operator="greaterThan">
      <formula>$D$59</formula>
    </cfRule>
  </conditionalFormatting>
  <conditionalFormatting sqref="D58">
    <cfRule type="cellIs" dxfId="138" priority="2" stopIfTrue="1" operator="lessThan">
      <formula>0</formula>
    </cfRule>
  </conditionalFormatting>
  <conditionalFormatting sqref="D31">
    <cfRule type="cellIs" dxfId="137" priority="1" stopIfTrue="1" operator="lessThan">
      <formula>0</formula>
    </cfRule>
  </conditionalFormatting>
  <pageMargins left="0.7" right="0.7" top="0.75" bottom="0.75" header="0.3" footer="0.3"/>
</worksheet>
</file>

<file path=xl/worksheets/sheet24.xml><?xml version="1.0" encoding="utf-8"?>
<worksheet xmlns="http://schemas.openxmlformats.org/spreadsheetml/2006/main" xmlns:r="http://schemas.openxmlformats.org/officeDocument/2006/relationships">
  <dimension ref="B1:E57"/>
  <sheetViews>
    <sheetView topLeftCell="A39" workbookViewId="0">
      <selection activeCell="B50" sqref="B50"/>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inputPrYr!B43</f>
        <v>Spec. Rev. Special Parks &amp; Recreation</v>
      </c>
      <c r="C5" s="440" t="str">
        <f>CONCATENATE("Actual for ",E1-2,"")</f>
        <v>Actual for 2012</v>
      </c>
      <c r="D5" s="440" t="str">
        <f>CONCATENATE("Estimate for ",E1-1,"")</f>
        <v>Estimate for 2013</v>
      </c>
      <c r="E5" s="268" t="str">
        <f>CONCATENATE("Year for ",E1,"")</f>
        <v>Year for 2014</v>
      </c>
    </row>
    <row r="6" spans="2:5">
      <c r="B6" s="360" t="s">
        <v>57</v>
      </c>
      <c r="C6" s="106">
        <v>126673</v>
      </c>
      <c r="D6" s="346">
        <f>C23</f>
        <v>112844</v>
      </c>
      <c r="E6" s="346">
        <f>D23</f>
        <v>57444</v>
      </c>
    </row>
    <row r="7" spans="2:5" s="80" customFormat="1">
      <c r="B7" s="361" t="s">
        <v>59</v>
      </c>
      <c r="C7" s="124"/>
      <c r="D7" s="124"/>
      <c r="E7" s="124"/>
    </row>
    <row r="8" spans="2:5">
      <c r="B8" s="348" t="s">
        <v>1059</v>
      </c>
      <c r="C8" s="106">
        <v>50560</v>
      </c>
      <c r="D8" s="106">
        <v>45000</v>
      </c>
      <c r="E8" s="106">
        <v>45000</v>
      </c>
    </row>
    <row r="9" spans="2:5">
      <c r="B9" s="348" t="s">
        <v>1057</v>
      </c>
      <c r="C9" s="106">
        <v>0</v>
      </c>
      <c r="D9" s="106">
        <v>4700</v>
      </c>
      <c r="E9" s="106">
        <v>0</v>
      </c>
    </row>
    <row r="10" spans="2:5">
      <c r="B10" s="348" t="s">
        <v>331</v>
      </c>
      <c r="C10" s="106">
        <v>363</v>
      </c>
      <c r="D10" s="106">
        <v>300</v>
      </c>
      <c r="E10" s="106">
        <v>300</v>
      </c>
    </row>
    <row r="11" spans="2:5">
      <c r="B11" s="362" t="s">
        <v>260</v>
      </c>
      <c r="C11" s="106"/>
      <c r="D11" s="106"/>
      <c r="E11" s="106"/>
    </row>
    <row r="12" spans="2:5">
      <c r="B12" s="352" t="s">
        <v>182</v>
      </c>
      <c r="C12" s="106"/>
      <c r="D12" s="345"/>
      <c r="E12" s="345"/>
    </row>
    <row r="13" spans="2:5">
      <c r="B13" s="352" t="s">
        <v>668</v>
      </c>
      <c r="C13" s="548" t="str">
        <f>IF(C14*0.1&lt;C12,"Exceed 10% Rule","")</f>
        <v/>
      </c>
      <c r="D13" s="353" t="str">
        <f>IF(D14*0.1&lt;D12,"Exceed 10% Rule","")</f>
        <v/>
      </c>
      <c r="E13" s="353" t="str">
        <f>IF(E14*0.1&lt;E12,"Exceed 10% Rule","")</f>
        <v/>
      </c>
    </row>
    <row r="14" spans="2:5">
      <c r="B14" s="354" t="s">
        <v>288</v>
      </c>
      <c r="C14" s="356">
        <f>SUM(C8:C12)</f>
        <v>50923</v>
      </c>
      <c r="D14" s="356">
        <f>SUM(D8:D12)</f>
        <v>50000</v>
      </c>
      <c r="E14" s="356">
        <f>SUM(E8:E12)</f>
        <v>45300</v>
      </c>
    </row>
    <row r="15" spans="2:5">
      <c r="B15" s="354" t="s">
        <v>289</v>
      </c>
      <c r="C15" s="356">
        <f>C6+C14</f>
        <v>177596</v>
      </c>
      <c r="D15" s="356">
        <f>D6+D14</f>
        <v>162844</v>
      </c>
      <c r="E15" s="356">
        <f>E6+E14</f>
        <v>102744</v>
      </c>
    </row>
    <row r="16" spans="2:5">
      <c r="B16" s="167" t="s">
        <v>291</v>
      </c>
      <c r="C16" s="346"/>
      <c r="D16" s="346"/>
      <c r="E16" s="346"/>
    </row>
    <row r="17" spans="2:5">
      <c r="B17" s="348" t="s">
        <v>1058</v>
      </c>
      <c r="C17" s="106">
        <v>7095</v>
      </c>
      <c r="D17" s="106">
        <v>86500</v>
      </c>
      <c r="E17" s="106">
        <v>39142</v>
      </c>
    </row>
    <row r="18" spans="2:5">
      <c r="B18" s="348" t="s">
        <v>1060</v>
      </c>
      <c r="C18" s="106">
        <v>57657</v>
      </c>
      <c r="D18" s="106">
        <v>18900</v>
      </c>
      <c r="E18" s="106">
        <v>21200</v>
      </c>
    </row>
    <row r="19" spans="2:5">
      <c r="B19" s="348"/>
      <c r="C19" s="106"/>
      <c r="D19" s="106"/>
      <c r="E19" s="106"/>
    </row>
    <row r="20" spans="2:5">
      <c r="B20" s="352" t="s">
        <v>182</v>
      </c>
      <c r="C20" s="106"/>
      <c r="D20" s="345"/>
      <c r="E20" s="345"/>
    </row>
    <row r="21" spans="2:5">
      <c r="B21" s="352" t="s">
        <v>667</v>
      </c>
      <c r="C21" s="548" t="str">
        <f>IF(C22*0.1&lt;C20,"Exceed 10% Rule","")</f>
        <v/>
      </c>
      <c r="D21" s="353" t="str">
        <f>IF(D22*0.1&lt;D20,"Exceed 10% Rule","")</f>
        <v/>
      </c>
      <c r="E21" s="353" t="str">
        <f>IF(E22*0.1&lt;E20,"Exceed 10% Rule","")</f>
        <v/>
      </c>
    </row>
    <row r="22" spans="2:5">
      <c r="B22" s="354" t="s">
        <v>295</v>
      </c>
      <c r="C22" s="356">
        <f>SUM(C17:C20)</f>
        <v>64752</v>
      </c>
      <c r="D22" s="356">
        <f>SUM(D17:D20)</f>
        <v>105400</v>
      </c>
      <c r="E22" s="356">
        <f>SUM(E17:E20)</f>
        <v>60342</v>
      </c>
    </row>
    <row r="23" spans="2:5">
      <c r="B23" s="167" t="s">
        <v>58</v>
      </c>
      <c r="C23" s="119">
        <f>C15-C22</f>
        <v>112844</v>
      </c>
      <c r="D23" s="119">
        <f>D15-D22</f>
        <v>57444</v>
      </c>
      <c r="E23" s="119">
        <f>E15-E22</f>
        <v>42402</v>
      </c>
    </row>
    <row r="24" spans="2:5">
      <c r="B24" s="797" t="str">
        <f>CONCATENATE("",E1-2,"/",E1-1," Budget Authority Amount:")</f>
        <v>2012/2013 Budget Authority Amount:</v>
      </c>
      <c r="C24" s="303">
        <f>inputOth!B90</f>
        <v>65100</v>
      </c>
      <c r="D24" s="303">
        <f>inputPrYr!D43</f>
        <v>105400</v>
      </c>
      <c r="E24" s="547" t="str">
        <f>IF(E23&lt;0,"See Tab E","")</f>
        <v/>
      </c>
    </row>
    <row r="25" spans="2:5">
      <c r="B25" s="797"/>
      <c r="C25" s="358" t="str">
        <f>IF(C22&gt;C24,"See Tab A","")</f>
        <v/>
      </c>
      <c r="D25" s="358" t="str">
        <f>IF(D22&gt;D24,"See Tab C","")</f>
        <v/>
      </c>
      <c r="E25" s="136"/>
    </row>
    <row r="26" spans="2:5">
      <c r="B26" s="797"/>
      <c r="C26" s="358" t="str">
        <f>IF(C23&lt;0,"See Tab B","")</f>
        <v/>
      </c>
      <c r="D26" s="358" t="str">
        <f>IF(D23&lt;0,"See Tab D","")</f>
        <v/>
      </c>
      <c r="E26" s="136"/>
    </row>
    <row r="27" spans="2:5">
      <c r="B27" s="84"/>
      <c r="C27" s="136"/>
      <c r="D27" s="136"/>
      <c r="E27" s="136"/>
    </row>
    <row r="28" spans="2:5">
      <c r="B28" s="91"/>
      <c r="C28" s="363"/>
      <c r="D28" s="363"/>
      <c r="E28" s="363"/>
    </row>
    <row r="29" spans="2:5">
      <c r="B29" s="91" t="s">
        <v>282</v>
      </c>
      <c r="C29" s="293" t="s">
        <v>806</v>
      </c>
      <c r="D29" s="204" t="s">
        <v>809</v>
      </c>
      <c r="E29" s="204" t="s">
        <v>808</v>
      </c>
    </row>
    <row r="30" spans="2:5">
      <c r="B30" s="561" t="str">
        <f>inputPrYr!B44</f>
        <v>Spec. Rev. Street Projects</v>
      </c>
      <c r="C30" s="359" t="str">
        <f>C5</f>
        <v>Actual for 2012</v>
      </c>
      <c r="D30" s="359" t="str">
        <f>D5</f>
        <v>Estimate for 2013</v>
      </c>
      <c r="E30" s="359" t="str">
        <f>E5</f>
        <v>Year for 2014</v>
      </c>
    </row>
    <row r="31" spans="2:5">
      <c r="B31" s="360" t="s">
        <v>57</v>
      </c>
      <c r="C31" s="106">
        <v>171868</v>
      </c>
      <c r="D31" s="346">
        <f>C52</f>
        <v>187185</v>
      </c>
      <c r="E31" s="346">
        <f>D52</f>
        <v>167963</v>
      </c>
    </row>
    <row r="32" spans="2:5" s="80" customFormat="1">
      <c r="B32" s="361" t="s">
        <v>59</v>
      </c>
      <c r="C32" s="124"/>
      <c r="D32" s="124"/>
      <c r="E32" s="124"/>
    </row>
    <row r="33" spans="2:5">
      <c r="B33" s="348" t="s">
        <v>1163</v>
      </c>
      <c r="C33" s="106">
        <v>189902</v>
      </c>
      <c r="D33" s="106">
        <v>184000</v>
      </c>
      <c r="E33" s="106">
        <v>184000</v>
      </c>
    </row>
    <row r="34" spans="2:5">
      <c r="B34" s="348" t="s">
        <v>1164</v>
      </c>
      <c r="C34" s="106">
        <v>139614</v>
      </c>
      <c r="D34" s="106">
        <v>110000</v>
      </c>
      <c r="E34" s="106">
        <v>110000</v>
      </c>
    </row>
    <row r="35" spans="2:5">
      <c r="B35" s="348" t="s">
        <v>1165</v>
      </c>
      <c r="C35" s="106">
        <v>14872</v>
      </c>
      <c r="D35" s="106">
        <v>14862</v>
      </c>
      <c r="E35" s="106">
        <v>14862</v>
      </c>
    </row>
    <row r="36" spans="2:5">
      <c r="B36" s="348" t="s">
        <v>331</v>
      </c>
      <c r="C36" s="106">
        <v>644</v>
      </c>
      <c r="D36" s="106">
        <v>400</v>
      </c>
      <c r="E36" s="106">
        <v>400</v>
      </c>
    </row>
    <row r="37" spans="2:5">
      <c r="B37" s="348" t="s">
        <v>1166</v>
      </c>
      <c r="C37" s="106">
        <v>0</v>
      </c>
      <c r="D37" s="106">
        <v>0</v>
      </c>
      <c r="E37" s="106">
        <v>1315</v>
      </c>
    </row>
    <row r="38" spans="2:5">
      <c r="B38" s="362" t="s">
        <v>1130</v>
      </c>
      <c r="C38" s="106">
        <v>276922</v>
      </c>
      <c r="D38" s="106">
        <v>250428</v>
      </c>
      <c r="E38" s="106">
        <v>208928</v>
      </c>
    </row>
    <row r="39" spans="2:5">
      <c r="B39" s="352" t="s">
        <v>182</v>
      </c>
      <c r="C39" s="106"/>
      <c r="D39" s="345"/>
      <c r="E39" s="345"/>
    </row>
    <row r="40" spans="2:5">
      <c r="B40" s="352" t="s">
        <v>668</v>
      </c>
      <c r="C40" s="548" t="str">
        <f>IF(C41*0.1&lt;C39,"Exceed 10% Rule","")</f>
        <v/>
      </c>
      <c r="D40" s="353" t="str">
        <f>IF(D41*0.1&lt;D39,"Exceed 10% Rule","")</f>
        <v/>
      </c>
      <c r="E40" s="353" t="str">
        <f>IF(E41*0.1&lt;E39,"Exceed 10% Rule","")</f>
        <v/>
      </c>
    </row>
    <row r="41" spans="2:5">
      <c r="B41" s="354" t="s">
        <v>288</v>
      </c>
      <c r="C41" s="356">
        <f>SUM(C33:C39)</f>
        <v>621954</v>
      </c>
      <c r="D41" s="356">
        <f>SUM(D33:D39)</f>
        <v>559690</v>
      </c>
      <c r="E41" s="356">
        <f>SUM(E33:E39)</f>
        <v>519505</v>
      </c>
    </row>
    <row r="42" spans="2:5">
      <c r="B42" s="354" t="s">
        <v>289</v>
      </c>
      <c r="C42" s="356">
        <f>C31+C41</f>
        <v>793822</v>
      </c>
      <c r="D42" s="356">
        <f>D31+D41</f>
        <v>746875</v>
      </c>
      <c r="E42" s="356">
        <f>E31+E41</f>
        <v>687468</v>
      </c>
    </row>
    <row r="43" spans="2:5">
      <c r="B43" s="167" t="s">
        <v>291</v>
      </c>
      <c r="C43" s="346"/>
      <c r="D43" s="346"/>
      <c r="E43" s="346"/>
    </row>
    <row r="44" spans="2:5">
      <c r="B44" s="348" t="s">
        <v>1071</v>
      </c>
      <c r="C44" s="106">
        <v>563288</v>
      </c>
      <c r="D44" s="106">
        <v>578912</v>
      </c>
      <c r="E44" s="106">
        <v>539100</v>
      </c>
    </row>
    <row r="45" spans="2:5">
      <c r="B45" s="348" t="s">
        <v>1063</v>
      </c>
      <c r="C45" s="106">
        <v>0</v>
      </c>
      <c r="D45" s="106">
        <v>0</v>
      </c>
      <c r="E45" s="106">
        <v>0</v>
      </c>
    </row>
    <row r="46" spans="2:5">
      <c r="B46" s="348" t="s">
        <v>1167</v>
      </c>
      <c r="C46" s="106">
        <v>43349</v>
      </c>
      <c r="D46" s="106">
        <v>0</v>
      </c>
      <c r="E46" s="106">
        <v>0</v>
      </c>
    </row>
    <row r="47" spans="2:5">
      <c r="B47" s="348" t="s">
        <v>260</v>
      </c>
      <c r="C47" s="106"/>
      <c r="D47" s="106"/>
      <c r="E47" s="106"/>
    </row>
    <row r="48" spans="2:5">
      <c r="B48" s="348"/>
      <c r="C48" s="106"/>
      <c r="D48" s="106"/>
      <c r="E48" s="106"/>
    </row>
    <row r="49" spans="2:5">
      <c r="B49" s="352" t="s">
        <v>182</v>
      </c>
      <c r="C49" s="106"/>
      <c r="D49" s="345"/>
      <c r="E49" s="345"/>
    </row>
    <row r="50" spans="2:5">
      <c r="B50" s="352" t="s">
        <v>667</v>
      </c>
      <c r="C50" s="548" t="str">
        <f>IF(C51*0.1&lt;C49,"Exceed 10% Rule","")</f>
        <v/>
      </c>
      <c r="D50" s="353" t="str">
        <f>IF(D51*0.1&lt;D49,"Exceed 10% Rule","")</f>
        <v/>
      </c>
      <c r="E50" s="353" t="str">
        <f>IF(E51*0.1&lt;E49,"Exceed 10% Rule","")</f>
        <v/>
      </c>
    </row>
    <row r="51" spans="2:5">
      <c r="B51" s="354" t="s">
        <v>295</v>
      </c>
      <c r="C51" s="356">
        <f>SUM(C44:C49)</f>
        <v>606637</v>
      </c>
      <c r="D51" s="356">
        <f>SUM(D44:D49)</f>
        <v>578912</v>
      </c>
      <c r="E51" s="356">
        <f>SUM(E44:E49)</f>
        <v>539100</v>
      </c>
    </row>
    <row r="52" spans="2:5">
      <c r="B52" s="167" t="s">
        <v>58</v>
      </c>
      <c r="C52" s="119">
        <f>C42-C51</f>
        <v>187185</v>
      </c>
      <c r="D52" s="119">
        <f>D42-D51</f>
        <v>167963</v>
      </c>
      <c r="E52" s="119">
        <f>E42-E51</f>
        <v>148368</v>
      </c>
    </row>
    <row r="53" spans="2:5">
      <c r="B53" s="797" t="str">
        <f>CONCATENATE("",E1-2,"/",E1-1," Budget Authority Amount:")</f>
        <v>2012/2013 Budget Authority Amount:</v>
      </c>
      <c r="C53" s="303">
        <f>inputOth!B91</f>
        <v>622600</v>
      </c>
      <c r="D53" s="303">
        <f>inputPrYr!D44</f>
        <v>578912</v>
      </c>
      <c r="E53" s="547" t="str">
        <f>IF(E52&lt;0,"See Tab E","")</f>
        <v/>
      </c>
    </row>
    <row r="54" spans="2:5">
      <c r="B54" s="797"/>
      <c r="C54" s="358" t="str">
        <f>IF(C51&gt;C53,"See Tab A","")</f>
        <v/>
      </c>
      <c r="D54" s="358" t="str">
        <f>IF(D51&gt;D53,"See Tab C","")</f>
        <v/>
      </c>
      <c r="E54" s="84"/>
    </row>
    <row r="55" spans="2:5">
      <c r="B55" s="797"/>
      <c r="C55" s="358" t="str">
        <f>IF(C52&lt;0,"See Tab B","")</f>
        <v/>
      </c>
      <c r="D55" s="358" t="str">
        <f>IF(D52&lt;0,"See Tab D","")</f>
        <v/>
      </c>
      <c r="E55" s="84"/>
    </row>
    <row r="56" spans="2:5">
      <c r="B56" s="84"/>
      <c r="C56" s="84"/>
      <c r="D56" s="84"/>
      <c r="E56" s="84"/>
    </row>
    <row r="57" spans="2:5">
      <c r="B57" s="797" t="s">
        <v>298</v>
      </c>
      <c r="C57" s="297">
        <v>18</v>
      </c>
      <c r="D57" s="84"/>
      <c r="E57" s="84"/>
    </row>
  </sheetData>
  <conditionalFormatting sqref="C39">
    <cfRule type="cellIs" dxfId="136" priority="19" stopIfTrue="1" operator="greaterThan">
      <formula>$C$41*0.1</formula>
    </cfRule>
  </conditionalFormatting>
  <conditionalFormatting sqref="D39">
    <cfRule type="cellIs" dxfId="135" priority="18" stopIfTrue="1" operator="greaterThan">
      <formula>$D$41*0.1</formula>
    </cfRule>
  </conditionalFormatting>
  <conditionalFormatting sqref="E39">
    <cfRule type="cellIs" dxfId="134" priority="17" stopIfTrue="1" operator="greaterThan">
      <formula>$E$41*0.1</formula>
    </cfRule>
  </conditionalFormatting>
  <conditionalFormatting sqref="C49">
    <cfRule type="cellIs" dxfId="133" priority="16" stopIfTrue="1" operator="greaterThan">
      <formula>$C$51*0.1</formula>
    </cfRule>
  </conditionalFormatting>
  <conditionalFormatting sqref="D49">
    <cfRule type="cellIs" dxfId="132" priority="15" stopIfTrue="1" operator="greaterThan">
      <formula>$D$51*0.1</formula>
    </cfRule>
  </conditionalFormatting>
  <conditionalFormatting sqref="E49">
    <cfRule type="cellIs" dxfId="131" priority="14" stopIfTrue="1" operator="greaterThan">
      <formula>$E$51*0.1</formula>
    </cfRule>
  </conditionalFormatting>
  <conditionalFormatting sqref="C20">
    <cfRule type="cellIs" dxfId="130" priority="13" stopIfTrue="1" operator="greaterThan">
      <formula>$C$22*0.1</formula>
    </cfRule>
  </conditionalFormatting>
  <conditionalFormatting sqref="D20">
    <cfRule type="cellIs" dxfId="129" priority="12" stopIfTrue="1" operator="greaterThan">
      <formula>$D$22*0.1</formula>
    </cfRule>
  </conditionalFormatting>
  <conditionalFormatting sqref="E20">
    <cfRule type="cellIs" dxfId="128" priority="11" stopIfTrue="1" operator="greaterThan">
      <formula>$E$22*0.1</formula>
    </cfRule>
  </conditionalFormatting>
  <conditionalFormatting sqref="C12">
    <cfRule type="cellIs" dxfId="127" priority="10" stopIfTrue="1" operator="greaterThan">
      <formula>$C$14*0.1</formula>
    </cfRule>
  </conditionalFormatting>
  <conditionalFormatting sqref="D12">
    <cfRule type="cellIs" dxfId="126" priority="9" stopIfTrue="1" operator="greaterThan">
      <formula>$D$14*0.1</formula>
    </cfRule>
  </conditionalFormatting>
  <conditionalFormatting sqref="E12">
    <cfRule type="cellIs" dxfId="125" priority="8" stopIfTrue="1" operator="greaterThan">
      <formula>$E$14*0.1</formula>
    </cfRule>
  </conditionalFormatting>
  <conditionalFormatting sqref="E23 C23 E52 C52">
    <cfRule type="cellIs" dxfId="124" priority="7" stopIfTrue="1" operator="lessThan">
      <formula>0</formula>
    </cfRule>
  </conditionalFormatting>
  <conditionalFormatting sqref="C22">
    <cfRule type="cellIs" dxfId="123" priority="6" stopIfTrue="1" operator="greaterThan">
      <formula>$C$24</formula>
    </cfRule>
  </conditionalFormatting>
  <conditionalFormatting sqref="D22">
    <cfRule type="cellIs" dxfId="122" priority="5" stopIfTrue="1" operator="greaterThan">
      <formula>$D$24</formula>
    </cfRule>
  </conditionalFormatting>
  <conditionalFormatting sqref="C51">
    <cfRule type="cellIs" dxfId="121" priority="4" stopIfTrue="1" operator="greaterThan">
      <formula>$C$53</formula>
    </cfRule>
  </conditionalFormatting>
  <conditionalFormatting sqref="D51">
    <cfRule type="cellIs" dxfId="120" priority="3" stopIfTrue="1" operator="greaterThan">
      <formula>$D$53</formula>
    </cfRule>
  </conditionalFormatting>
  <conditionalFormatting sqref="D52">
    <cfRule type="cellIs" dxfId="119" priority="2" stopIfTrue="1" operator="lessThan">
      <formula>0</formula>
    </cfRule>
  </conditionalFormatting>
  <conditionalFormatting sqref="D23">
    <cfRule type="cellIs" dxfId="118" priority="1" stopIfTrue="1" operator="lessThan">
      <formula>0</formula>
    </cfRule>
  </conditionalFormatting>
  <pageMargins left="0.7" right="0.7" top="0.75" bottom="0.75" header="0.3" footer="0.3"/>
</worksheet>
</file>

<file path=xl/worksheets/sheet25.xml><?xml version="1.0" encoding="utf-8"?>
<worksheet xmlns="http://schemas.openxmlformats.org/spreadsheetml/2006/main" xmlns:r="http://schemas.openxmlformats.org/officeDocument/2006/relationships">
  <dimension ref="B1:E64"/>
  <sheetViews>
    <sheetView topLeftCell="A43" workbookViewId="0">
      <selection activeCell="B22" sqref="B22"/>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inputPrYr!B45</f>
        <v>Spec. Rev. Summer Ball</v>
      </c>
      <c r="C5" s="440" t="str">
        <f>CONCATENATE("Actual for ",E1-2,"")</f>
        <v>Actual for 2012</v>
      </c>
      <c r="D5" s="440" t="str">
        <f>CONCATENATE("Estimate for ",E1-1,"")</f>
        <v>Estimate for 2013</v>
      </c>
      <c r="E5" s="268" t="str">
        <f>CONCATENATE("Year for ",E1,"")</f>
        <v>Year for 2014</v>
      </c>
    </row>
    <row r="6" spans="2:5">
      <c r="B6" s="360" t="s">
        <v>57</v>
      </c>
      <c r="C6" s="106">
        <v>17346</v>
      </c>
      <c r="D6" s="346">
        <f>C24</f>
        <v>25799</v>
      </c>
      <c r="E6" s="346">
        <f>D24</f>
        <v>11329</v>
      </c>
    </row>
    <row r="7" spans="2:5" s="80" customFormat="1">
      <c r="B7" s="361" t="s">
        <v>59</v>
      </c>
      <c r="C7" s="124"/>
      <c r="D7" s="124"/>
      <c r="E7" s="124"/>
    </row>
    <row r="8" spans="2:5">
      <c r="B8" s="348" t="s">
        <v>1067</v>
      </c>
      <c r="C8" s="106">
        <v>24182</v>
      </c>
      <c r="D8" s="106">
        <v>20000</v>
      </c>
      <c r="E8" s="106">
        <v>24000</v>
      </c>
    </row>
    <row r="9" spans="2:5">
      <c r="B9" s="348" t="s">
        <v>1068</v>
      </c>
      <c r="C9" s="106">
        <v>1725</v>
      </c>
      <c r="D9" s="106">
        <v>1500</v>
      </c>
      <c r="E9" s="106">
        <v>5500</v>
      </c>
    </row>
    <row r="10" spans="2:5">
      <c r="B10" s="348" t="s">
        <v>1069</v>
      </c>
      <c r="C10" s="106">
        <v>40</v>
      </c>
      <c r="D10" s="106">
        <v>0</v>
      </c>
      <c r="E10" s="106">
        <v>0</v>
      </c>
    </row>
    <row r="11" spans="2:5">
      <c r="B11" s="348" t="s">
        <v>1070</v>
      </c>
      <c r="C11" s="106">
        <v>6267</v>
      </c>
      <c r="D11" s="106">
        <v>6300</v>
      </c>
      <c r="E11" s="106">
        <v>5900</v>
      </c>
    </row>
    <row r="12" spans="2:5">
      <c r="B12" s="352" t="s">
        <v>182</v>
      </c>
      <c r="C12" s="106"/>
      <c r="D12" s="345"/>
      <c r="E12" s="345"/>
    </row>
    <row r="13" spans="2:5">
      <c r="B13" s="352" t="s">
        <v>668</v>
      </c>
      <c r="C13" s="548" t="str">
        <f>IF(C14*0.1&lt;C12,"Exceed 10% Rule","")</f>
        <v/>
      </c>
      <c r="D13" s="353" t="str">
        <f>IF(D14*0.1&lt;D12,"Exceed 10% Rule","")</f>
        <v/>
      </c>
      <c r="E13" s="353" t="str">
        <f>IF(E14*0.1&lt;E12,"Exceed 10% Rule","")</f>
        <v/>
      </c>
    </row>
    <row r="14" spans="2:5">
      <c r="B14" s="354" t="s">
        <v>288</v>
      </c>
      <c r="C14" s="356">
        <f>SUM(C8:C12)</f>
        <v>32214</v>
      </c>
      <c r="D14" s="356">
        <f>SUM(D8:D12)</f>
        <v>27800</v>
      </c>
      <c r="E14" s="356">
        <f>SUM(E8:E12)</f>
        <v>35400</v>
      </c>
    </row>
    <row r="15" spans="2:5">
      <c r="B15" s="354" t="s">
        <v>289</v>
      </c>
      <c r="C15" s="356">
        <f>C6+C14</f>
        <v>49560</v>
      </c>
      <c r="D15" s="356">
        <f>D6+D14</f>
        <v>53599</v>
      </c>
      <c r="E15" s="356">
        <f>E6+E14</f>
        <v>46729</v>
      </c>
    </row>
    <row r="16" spans="2:5">
      <c r="B16" s="167" t="s">
        <v>291</v>
      </c>
      <c r="C16" s="346"/>
      <c r="D16" s="346"/>
      <c r="E16" s="346"/>
    </row>
    <row r="17" spans="2:5">
      <c r="B17" s="348" t="s">
        <v>1062</v>
      </c>
      <c r="C17" s="106">
        <v>6421</v>
      </c>
      <c r="D17" s="106">
        <v>6370</v>
      </c>
      <c r="E17" s="106">
        <v>6500</v>
      </c>
    </row>
    <row r="18" spans="2:5">
      <c r="B18" s="348" t="s">
        <v>1071</v>
      </c>
      <c r="C18" s="106">
        <v>5843</v>
      </c>
      <c r="D18" s="106">
        <v>8750</v>
      </c>
      <c r="E18" s="106">
        <v>11800</v>
      </c>
    </row>
    <row r="19" spans="2:5">
      <c r="B19" s="348" t="s">
        <v>1063</v>
      </c>
      <c r="C19" s="106">
        <v>9997</v>
      </c>
      <c r="D19" s="106">
        <v>12350</v>
      </c>
      <c r="E19" s="106">
        <v>11950</v>
      </c>
    </row>
    <row r="20" spans="2:5">
      <c r="B20" s="348" t="s">
        <v>1064</v>
      </c>
      <c r="C20" s="106">
        <v>1500</v>
      </c>
      <c r="D20" s="106">
        <v>14800</v>
      </c>
      <c r="E20" s="106">
        <v>16000</v>
      </c>
    </row>
    <row r="21" spans="2:5">
      <c r="B21" s="352" t="s">
        <v>182</v>
      </c>
      <c r="C21" s="106"/>
      <c r="D21" s="345"/>
      <c r="E21" s="345"/>
    </row>
    <row r="22" spans="2:5">
      <c r="B22" s="352" t="s">
        <v>667</v>
      </c>
      <c r="C22" s="548" t="str">
        <f>IF(C23*0.1&lt;C21,"Exceed 10% Rule","")</f>
        <v/>
      </c>
      <c r="D22" s="353" t="str">
        <f>IF(D23*0.1&lt;D21,"Exceed 10% Rule","")</f>
        <v/>
      </c>
      <c r="E22" s="353" t="str">
        <f>IF(E23*0.1&lt;E21,"Exceed 10% Rule","")</f>
        <v/>
      </c>
    </row>
    <row r="23" spans="2:5">
      <c r="B23" s="354" t="s">
        <v>295</v>
      </c>
      <c r="C23" s="356">
        <f>SUM(C17:C21)</f>
        <v>23761</v>
      </c>
      <c r="D23" s="356">
        <f>SUM(D17:D21)</f>
        <v>42270</v>
      </c>
      <c r="E23" s="356">
        <f>SUM(E17:E21)</f>
        <v>46250</v>
      </c>
    </row>
    <row r="24" spans="2:5">
      <c r="B24" s="167" t="s">
        <v>58</v>
      </c>
      <c r="C24" s="119">
        <f>C15-C23</f>
        <v>25799</v>
      </c>
      <c r="D24" s="119">
        <f>D15-D23</f>
        <v>11329</v>
      </c>
      <c r="E24" s="119">
        <f>E15-E23</f>
        <v>479</v>
      </c>
    </row>
    <row r="25" spans="2:5">
      <c r="B25" s="797" t="str">
        <f>CONCATENATE("",E1-2,"/",E1-1," Budget Authority Amount:")</f>
        <v>2012/2013 Budget Authority Amount:</v>
      </c>
      <c r="C25" s="303">
        <f>inputOth!B92</f>
        <v>31855</v>
      </c>
      <c r="D25" s="303">
        <f>inputPrYr!D45</f>
        <v>42270</v>
      </c>
      <c r="E25" s="547" t="str">
        <f>IF(E24&lt;0,"See Tab E","")</f>
        <v/>
      </c>
    </row>
    <row r="26" spans="2:5">
      <c r="B26" s="91"/>
      <c r="C26" s="363"/>
      <c r="D26" s="363"/>
      <c r="E26" s="363"/>
    </row>
    <row r="27" spans="2:5">
      <c r="B27" s="91" t="s">
        <v>282</v>
      </c>
      <c r="C27" s="293" t="s">
        <v>806</v>
      </c>
      <c r="D27" s="204" t="s">
        <v>809</v>
      </c>
      <c r="E27" s="204" t="s">
        <v>808</v>
      </c>
    </row>
    <row r="28" spans="2:5">
      <c r="B28" s="561" t="str">
        <f>inputPrYr!B46</f>
        <v>Spec. Rev. Swimming Pool</v>
      </c>
      <c r="C28" s="359" t="str">
        <f>C5</f>
        <v>Actual for 2012</v>
      </c>
      <c r="D28" s="359" t="str">
        <f>D5</f>
        <v>Estimate for 2013</v>
      </c>
      <c r="E28" s="359" t="str">
        <f>E5</f>
        <v>Year for 2014</v>
      </c>
    </row>
    <row r="29" spans="2:5">
      <c r="B29" s="360" t="s">
        <v>57</v>
      </c>
      <c r="C29" s="106">
        <v>0</v>
      </c>
      <c r="D29" s="346">
        <f>C59</f>
        <v>0</v>
      </c>
      <c r="E29" s="346">
        <f>D59</f>
        <v>0</v>
      </c>
    </row>
    <row r="30" spans="2:5" s="80" customFormat="1">
      <c r="B30" s="361" t="s">
        <v>59</v>
      </c>
      <c r="C30" s="124"/>
      <c r="D30" s="124"/>
      <c r="E30" s="124"/>
    </row>
    <row r="31" spans="2:5">
      <c r="B31" s="348" t="s">
        <v>1087</v>
      </c>
      <c r="C31" s="106">
        <v>4681</v>
      </c>
      <c r="D31" s="106">
        <v>18900</v>
      </c>
      <c r="E31" s="106">
        <v>21200</v>
      </c>
    </row>
    <row r="32" spans="2:5">
      <c r="B32" s="348" t="s">
        <v>1088</v>
      </c>
      <c r="C32" s="106">
        <v>112441</v>
      </c>
      <c r="D32" s="106">
        <v>68345</v>
      </c>
      <c r="E32" s="106">
        <v>78124</v>
      </c>
    </row>
    <row r="33" spans="2:5">
      <c r="B33" s="348" t="s">
        <v>1076</v>
      </c>
      <c r="C33" s="106">
        <v>51443</v>
      </c>
      <c r="D33" s="106">
        <v>60000</v>
      </c>
      <c r="E33" s="106">
        <v>60000</v>
      </c>
    </row>
    <row r="34" spans="2:5">
      <c r="B34" s="348" t="s">
        <v>1077</v>
      </c>
      <c r="C34" s="106">
        <v>40282</v>
      </c>
      <c r="D34" s="106">
        <v>50000</v>
      </c>
      <c r="E34" s="106">
        <v>50000</v>
      </c>
    </row>
    <row r="35" spans="2:5">
      <c r="B35" s="348" t="s">
        <v>1078</v>
      </c>
      <c r="C35" s="106">
        <v>2575</v>
      </c>
      <c r="D35" s="106">
        <v>3000</v>
      </c>
      <c r="E35" s="106">
        <v>3000</v>
      </c>
    </row>
    <row r="36" spans="2:5">
      <c r="B36" s="348" t="s">
        <v>1079</v>
      </c>
      <c r="C36" s="106">
        <v>250</v>
      </c>
      <c r="D36" s="106">
        <v>0</v>
      </c>
      <c r="E36" s="106">
        <v>0</v>
      </c>
    </row>
    <row r="37" spans="2:5">
      <c r="B37" s="348" t="s">
        <v>1080</v>
      </c>
      <c r="C37" s="106">
        <v>0</v>
      </c>
      <c r="D37" s="345">
        <v>0</v>
      </c>
      <c r="E37" s="345">
        <v>1000</v>
      </c>
    </row>
    <row r="38" spans="2:5">
      <c r="B38" s="362" t="s">
        <v>1081</v>
      </c>
      <c r="C38" s="106">
        <v>10050</v>
      </c>
      <c r="D38" s="345">
        <v>8200</v>
      </c>
      <c r="E38" s="345">
        <v>9000</v>
      </c>
    </row>
    <row r="39" spans="2:5">
      <c r="B39" s="362" t="s">
        <v>1082</v>
      </c>
      <c r="C39" s="106">
        <v>908</v>
      </c>
      <c r="D39" s="345">
        <v>500</v>
      </c>
      <c r="E39" s="345">
        <v>500</v>
      </c>
    </row>
    <row r="40" spans="2:5">
      <c r="B40" s="362" t="s">
        <v>1083</v>
      </c>
      <c r="C40" s="106">
        <v>2160</v>
      </c>
      <c r="D40" s="345">
        <v>2500</v>
      </c>
      <c r="E40" s="345">
        <v>4000</v>
      </c>
    </row>
    <row r="41" spans="2:5">
      <c r="B41" s="362" t="s">
        <v>1205</v>
      </c>
      <c r="C41" s="106">
        <v>362</v>
      </c>
      <c r="D41" s="345">
        <v>0</v>
      </c>
      <c r="E41" s="345">
        <v>0</v>
      </c>
    </row>
    <row r="42" spans="2:5">
      <c r="B42" s="362" t="s">
        <v>1084</v>
      </c>
      <c r="C42" s="106">
        <v>920</v>
      </c>
      <c r="D42" s="345">
        <v>0</v>
      </c>
      <c r="E42" s="345">
        <v>900</v>
      </c>
    </row>
    <row r="43" spans="2:5">
      <c r="B43" s="362" t="s">
        <v>1085</v>
      </c>
      <c r="C43" s="106">
        <v>261</v>
      </c>
      <c r="D43" s="345">
        <v>1200</v>
      </c>
      <c r="E43" s="345">
        <v>1200</v>
      </c>
    </row>
    <row r="44" spans="2:5">
      <c r="B44" s="362" t="s">
        <v>1089</v>
      </c>
      <c r="C44" s="106">
        <v>8</v>
      </c>
      <c r="D44" s="345">
        <v>0</v>
      </c>
      <c r="E44" s="345">
        <v>0</v>
      </c>
    </row>
    <row r="45" spans="2:5">
      <c r="B45" s="362" t="s">
        <v>1073</v>
      </c>
      <c r="C45" s="106">
        <v>10</v>
      </c>
      <c r="D45" s="345">
        <v>0</v>
      </c>
      <c r="E45" s="345">
        <v>0</v>
      </c>
    </row>
    <row r="46" spans="2:5">
      <c r="B46" s="362" t="s">
        <v>1086</v>
      </c>
      <c r="C46" s="106">
        <v>27560</v>
      </c>
      <c r="D46" s="345">
        <v>33000</v>
      </c>
      <c r="E46" s="345">
        <v>33000</v>
      </c>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SUM(C31:C47)</f>
        <v>253911</v>
      </c>
      <c r="D49" s="356">
        <f>SUM(D31:D47)</f>
        <v>245645</v>
      </c>
      <c r="E49" s="356">
        <f>SUM(E31:E47)</f>
        <v>261924</v>
      </c>
    </row>
    <row r="50" spans="2:5">
      <c r="B50" s="354" t="s">
        <v>289</v>
      </c>
      <c r="C50" s="356">
        <f>C29+C49</f>
        <v>253911</v>
      </c>
      <c r="D50" s="356">
        <f>D29+D49</f>
        <v>245645</v>
      </c>
      <c r="E50" s="356">
        <f>E29+E49</f>
        <v>261924</v>
      </c>
    </row>
    <row r="51" spans="2:5">
      <c r="B51" s="167" t="s">
        <v>291</v>
      </c>
      <c r="C51" s="346"/>
      <c r="D51" s="346"/>
      <c r="E51" s="346"/>
    </row>
    <row r="52" spans="2:5">
      <c r="B52" s="348" t="s">
        <v>1062</v>
      </c>
      <c r="C52" s="106">
        <v>171689</v>
      </c>
      <c r="D52" s="106">
        <v>148550</v>
      </c>
      <c r="E52" s="106">
        <v>150650</v>
      </c>
    </row>
    <row r="53" spans="2:5">
      <c r="B53" s="348" t="s">
        <v>1071</v>
      </c>
      <c r="C53" s="106">
        <v>41375</v>
      </c>
      <c r="D53" s="106">
        <v>42420</v>
      </c>
      <c r="E53" s="106">
        <v>54224</v>
      </c>
    </row>
    <row r="54" spans="2:5">
      <c r="B54" s="348" t="s">
        <v>1063</v>
      </c>
      <c r="C54" s="106">
        <v>36166</v>
      </c>
      <c r="D54" s="106">
        <v>35775</v>
      </c>
      <c r="E54" s="106">
        <v>35850</v>
      </c>
    </row>
    <row r="55" spans="2:5">
      <c r="B55" s="348" t="s">
        <v>1075</v>
      </c>
      <c r="C55" s="106">
        <v>4681</v>
      </c>
      <c r="D55" s="106">
        <v>18900</v>
      </c>
      <c r="E55" s="106">
        <v>21200</v>
      </c>
    </row>
    <row r="56" spans="2:5">
      <c r="B56" s="352" t="s">
        <v>182</v>
      </c>
      <c r="C56" s="106"/>
      <c r="D56" s="345"/>
      <c r="E56" s="345"/>
    </row>
    <row r="57" spans="2:5">
      <c r="B57" s="352" t="s">
        <v>667</v>
      </c>
      <c r="C57" s="548" t="str">
        <f>IF(C58*0.1&lt;C56,"Exceed 10% Rule","")</f>
        <v/>
      </c>
      <c r="D57" s="353" t="str">
        <f>IF(D58*0.1&lt;D56,"Exceed 10% Rule","")</f>
        <v/>
      </c>
      <c r="E57" s="353" t="str">
        <f>IF(E58*0.1&lt;E56,"Exceed 10% Rule","")</f>
        <v/>
      </c>
    </row>
    <row r="58" spans="2:5">
      <c r="B58" s="354" t="s">
        <v>295</v>
      </c>
      <c r="C58" s="356">
        <f>SUM(C52:C56)</f>
        <v>253911</v>
      </c>
      <c r="D58" s="356">
        <f>SUM(D52:D56)</f>
        <v>245645</v>
      </c>
      <c r="E58" s="356">
        <f>SUM(E52:E56)</f>
        <v>261924</v>
      </c>
    </row>
    <row r="59" spans="2:5">
      <c r="B59" s="167" t="s">
        <v>58</v>
      </c>
      <c r="C59" s="119">
        <f>C50-C58</f>
        <v>0</v>
      </c>
      <c r="D59" s="119">
        <f>D50-D58</f>
        <v>0</v>
      </c>
      <c r="E59" s="119">
        <f>E50-E58</f>
        <v>0</v>
      </c>
    </row>
    <row r="60" spans="2:5">
      <c r="B60" s="797" t="str">
        <f>CONCATENATE("",E1-2,"/",E1-1," Budget Authority Amount:")</f>
        <v>2012/2013 Budget Authority Amount:</v>
      </c>
      <c r="C60" s="303">
        <f>inputOth!B93</f>
        <v>257977</v>
      </c>
      <c r="D60" s="303">
        <f>inputPrYr!D46</f>
        <v>245645</v>
      </c>
      <c r="E60" s="547" t="str">
        <f>IF(E59&lt;0,"See Tab E","")</f>
        <v/>
      </c>
    </row>
    <row r="61" spans="2:5">
      <c r="B61" s="797"/>
      <c r="C61" s="358" t="str">
        <f>IF(C58&gt;C60,"See Tab A","")</f>
        <v/>
      </c>
      <c r="D61" s="358" t="str">
        <f>IF(D58&gt;D60,"See Tab C","")</f>
        <v/>
      </c>
      <c r="E61" s="84"/>
    </row>
    <row r="62" spans="2:5">
      <c r="B62" s="797"/>
      <c r="C62" s="358" t="str">
        <f>IF(C59&lt;0,"See Tab B","")</f>
        <v/>
      </c>
      <c r="D62" s="358" t="str">
        <f>IF(D59&lt;0,"See Tab D","")</f>
        <v/>
      </c>
      <c r="E62" s="84"/>
    </row>
    <row r="63" spans="2:5">
      <c r="B63" s="84"/>
      <c r="C63" s="84"/>
      <c r="D63" s="84"/>
      <c r="E63" s="84"/>
    </row>
    <row r="64" spans="2:5">
      <c r="B64" s="797" t="s">
        <v>298</v>
      </c>
      <c r="C64" s="297">
        <v>19</v>
      </c>
      <c r="D64" s="84"/>
      <c r="E64" s="84"/>
    </row>
  </sheetData>
  <conditionalFormatting sqref="C47">
    <cfRule type="cellIs" dxfId="117" priority="19" stopIfTrue="1" operator="greaterThan">
      <formula>$C$49*0.1</formula>
    </cfRule>
  </conditionalFormatting>
  <conditionalFormatting sqref="D47">
    <cfRule type="cellIs" dxfId="116" priority="18" stopIfTrue="1" operator="greaterThan">
      <formula>$D$49*0.1</formula>
    </cfRule>
  </conditionalFormatting>
  <conditionalFormatting sqref="E47">
    <cfRule type="cellIs" dxfId="115" priority="17" stopIfTrue="1" operator="greaterThan">
      <formula>$E$49*0.1</formula>
    </cfRule>
  </conditionalFormatting>
  <conditionalFormatting sqref="C56">
    <cfRule type="cellIs" dxfId="114" priority="16" stopIfTrue="1" operator="greaterThan">
      <formula>$C$58*0.1</formula>
    </cfRule>
  </conditionalFormatting>
  <conditionalFormatting sqref="D56">
    <cfRule type="cellIs" dxfId="113" priority="15" stopIfTrue="1" operator="greaterThan">
      <formula>$D$58*0.1</formula>
    </cfRule>
  </conditionalFormatting>
  <conditionalFormatting sqref="E56">
    <cfRule type="cellIs" dxfId="112" priority="14" stopIfTrue="1" operator="greaterThan">
      <formula>$E$58*0.1</formula>
    </cfRule>
  </conditionalFormatting>
  <conditionalFormatting sqref="C21">
    <cfRule type="cellIs" dxfId="111" priority="13" stopIfTrue="1" operator="greaterThan">
      <formula>$C$23*0.1</formula>
    </cfRule>
  </conditionalFormatting>
  <conditionalFormatting sqref="D21">
    <cfRule type="cellIs" dxfId="110" priority="12" stopIfTrue="1" operator="greaterThan">
      <formula>$D$23*0.1</formula>
    </cfRule>
  </conditionalFormatting>
  <conditionalFormatting sqref="E21">
    <cfRule type="cellIs" dxfId="109" priority="11" stopIfTrue="1" operator="greaterThan">
      <formula>$E$23*0.1</formula>
    </cfRule>
  </conditionalFormatting>
  <conditionalFormatting sqref="C12">
    <cfRule type="cellIs" dxfId="108" priority="10" stopIfTrue="1" operator="greaterThan">
      <formula>$C$14*0.1</formula>
    </cfRule>
  </conditionalFormatting>
  <conditionalFormatting sqref="D12">
    <cfRule type="cellIs" dxfId="107" priority="9" stopIfTrue="1" operator="greaterThan">
      <formula>$D$14*0.1</formula>
    </cfRule>
  </conditionalFormatting>
  <conditionalFormatting sqref="E12">
    <cfRule type="cellIs" dxfId="106" priority="8" stopIfTrue="1" operator="greaterThan">
      <formula>$E$14*0.1</formula>
    </cfRule>
  </conditionalFormatting>
  <conditionalFormatting sqref="E24 C24 E59 C59">
    <cfRule type="cellIs" dxfId="105" priority="7" stopIfTrue="1" operator="lessThan">
      <formula>0</formula>
    </cfRule>
  </conditionalFormatting>
  <conditionalFormatting sqref="C23">
    <cfRule type="cellIs" dxfId="104" priority="6" stopIfTrue="1" operator="greaterThan">
      <formula>$C$25</formula>
    </cfRule>
  </conditionalFormatting>
  <conditionalFormatting sqref="D23">
    <cfRule type="cellIs" dxfId="103" priority="5" stopIfTrue="1" operator="greaterThan">
      <formula>$D$25</formula>
    </cfRule>
  </conditionalFormatting>
  <conditionalFormatting sqref="C58">
    <cfRule type="cellIs" dxfId="102" priority="4" stopIfTrue="1" operator="greaterThan">
      <formula>$C$60</formula>
    </cfRule>
  </conditionalFormatting>
  <conditionalFormatting sqref="D58">
    <cfRule type="cellIs" dxfId="101" priority="3" stopIfTrue="1" operator="greaterThan">
      <formula>$D$60</formula>
    </cfRule>
  </conditionalFormatting>
  <conditionalFormatting sqref="D59">
    <cfRule type="cellIs" dxfId="100" priority="2" stopIfTrue="1" operator="lessThan">
      <formula>0</formula>
    </cfRule>
  </conditionalFormatting>
  <conditionalFormatting sqref="D24">
    <cfRule type="cellIs" dxfId="99" priority="1" stopIfTrue="1" operator="lessThan">
      <formula>0</formula>
    </cfRule>
  </conditionalFormatting>
  <pageMargins left="0.7" right="0.7" top="0.75" bottom="0.75" header="0.3" footer="0.3"/>
</worksheet>
</file>

<file path=xl/worksheets/sheet26.xml><?xml version="1.0" encoding="utf-8"?>
<worksheet xmlns="http://schemas.openxmlformats.org/spreadsheetml/2006/main" xmlns:r="http://schemas.openxmlformats.org/officeDocument/2006/relationships">
  <dimension ref="B1:E70"/>
  <sheetViews>
    <sheetView workbookViewId="0">
      <selection activeCell="B63" sqref="B63"/>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inputPrYr!B47</f>
        <v>Spec. Rev. Tiblow Transit</v>
      </c>
      <c r="C5" s="440" t="str">
        <f>CONCATENATE("Actual for ",E1-2,"")</f>
        <v>Actual for 2012</v>
      </c>
      <c r="D5" s="440" t="str">
        <f>CONCATENATE("Estimate for ",E1-1,"")</f>
        <v>Estimate for 2013</v>
      </c>
      <c r="E5" s="268" t="str">
        <f>CONCATENATE("Year for ",E1,"")</f>
        <v>Year for 2014</v>
      </c>
    </row>
    <row r="6" spans="2:5">
      <c r="B6" s="360" t="s">
        <v>57</v>
      </c>
      <c r="C6" s="106">
        <v>0</v>
      </c>
      <c r="D6" s="346">
        <f>C32</f>
        <v>-44</v>
      </c>
      <c r="E6" s="346">
        <f>D32</f>
        <v>0</v>
      </c>
    </row>
    <row r="7" spans="2:5" s="80" customFormat="1">
      <c r="B7" s="361" t="s">
        <v>59</v>
      </c>
      <c r="C7" s="124"/>
      <c r="D7" s="124"/>
      <c r="E7" s="124"/>
    </row>
    <row r="8" spans="2:5">
      <c r="B8" s="348" t="s">
        <v>1168</v>
      </c>
      <c r="C8" s="106">
        <v>56990</v>
      </c>
      <c r="D8" s="106">
        <v>53760</v>
      </c>
      <c r="E8" s="106">
        <v>57600</v>
      </c>
    </row>
    <row r="9" spans="2:5">
      <c r="B9" s="348" t="s">
        <v>1169</v>
      </c>
      <c r="C9" s="106">
        <v>3048</v>
      </c>
      <c r="D9" s="106">
        <v>3759</v>
      </c>
      <c r="E9" s="106">
        <v>3200</v>
      </c>
    </row>
    <row r="10" spans="2:5">
      <c r="B10" s="348" t="s">
        <v>1170</v>
      </c>
      <c r="C10" s="106">
        <v>3750</v>
      </c>
      <c r="D10" s="106">
        <v>3800</v>
      </c>
      <c r="E10" s="106">
        <v>3800</v>
      </c>
    </row>
    <row r="11" spans="2:5">
      <c r="B11" s="348" t="s">
        <v>1172</v>
      </c>
      <c r="C11" s="106">
        <v>1500</v>
      </c>
      <c r="D11" s="106">
        <v>1500</v>
      </c>
      <c r="E11" s="106">
        <v>1500</v>
      </c>
    </row>
    <row r="12" spans="2:5">
      <c r="B12" s="348" t="s">
        <v>1156</v>
      </c>
      <c r="C12" s="106">
        <v>0</v>
      </c>
      <c r="D12" s="106">
        <v>44</v>
      </c>
      <c r="E12" s="106">
        <v>0</v>
      </c>
    </row>
    <row r="13" spans="2:5">
      <c r="B13" s="348" t="s">
        <v>1171</v>
      </c>
      <c r="C13" s="106">
        <v>0</v>
      </c>
      <c r="D13" s="106">
        <v>0</v>
      </c>
      <c r="E13" s="106">
        <v>1225</v>
      </c>
    </row>
    <row r="14" spans="2:5">
      <c r="B14" s="348" t="s">
        <v>1130</v>
      </c>
      <c r="C14" s="106">
        <v>20653</v>
      </c>
      <c r="D14" s="106">
        <v>32570</v>
      </c>
      <c r="E14" s="106">
        <v>23208</v>
      </c>
    </row>
    <row r="15" spans="2:5">
      <c r="B15" s="352" t="s">
        <v>182</v>
      </c>
      <c r="C15" s="106"/>
      <c r="D15" s="345"/>
      <c r="E15" s="345"/>
    </row>
    <row r="16" spans="2:5">
      <c r="B16" s="352" t="s">
        <v>668</v>
      </c>
      <c r="C16" s="548" t="str">
        <f>IF(C17*0.1&lt;C15,"Exceed 10% Rule","")</f>
        <v/>
      </c>
      <c r="D16" s="353" t="str">
        <f>IF(D17*0.1&lt;D15,"Exceed 10% Rule","")</f>
        <v/>
      </c>
      <c r="E16" s="353" t="str">
        <f>IF(E17*0.1&lt;E15,"Exceed 10% Rule","")</f>
        <v/>
      </c>
    </row>
    <row r="17" spans="2:5">
      <c r="B17" s="354" t="s">
        <v>288</v>
      </c>
      <c r="C17" s="356">
        <f>SUM(C8:C15)</f>
        <v>85941</v>
      </c>
      <c r="D17" s="356">
        <f>SUM(D8:D15)</f>
        <v>95433</v>
      </c>
      <c r="E17" s="356">
        <f>SUM(E8:E15)</f>
        <v>90533</v>
      </c>
    </row>
    <row r="18" spans="2:5">
      <c r="B18" s="354" t="s">
        <v>289</v>
      </c>
      <c r="C18" s="356">
        <f>C6+C17</f>
        <v>85941</v>
      </c>
      <c r="D18" s="356">
        <f>D6+D17</f>
        <v>95389</v>
      </c>
      <c r="E18" s="356">
        <f>E6+E17</f>
        <v>90533</v>
      </c>
    </row>
    <row r="19" spans="2:5">
      <c r="B19" s="167" t="s">
        <v>291</v>
      </c>
      <c r="C19" s="346"/>
      <c r="D19" s="346"/>
      <c r="E19" s="346"/>
    </row>
    <row r="20" spans="2:5">
      <c r="B20" s="348" t="s">
        <v>1062</v>
      </c>
      <c r="C20" s="106">
        <v>46117</v>
      </c>
      <c r="D20" s="106">
        <v>50259</v>
      </c>
      <c r="E20" s="106">
        <v>52914</v>
      </c>
    </row>
    <row r="21" spans="2:5">
      <c r="B21" s="348" t="s">
        <v>1071</v>
      </c>
      <c r="C21" s="106">
        <v>21589</v>
      </c>
      <c r="D21" s="106">
        <v>16430</v>
      </c>
      <c r="E21" s="106">
        <v>14519</v>
      </c>
    </row>
    <row r="22" spans="2:5">
      <c r="B22" s="348" t="s">
        <v>1063</v>
      </c>
      <c r="C22" s="106">
        <v>18279</v>
      </c>
      <c r="D22" s="106">
        <v>16100</v>
      </c>
      <c r="E22" s="106">
        <v>18100</v>
      </c>
    </row>
    <row r="23" spans="2:5">
      <c r="B23" s="348" t="s">
        <v>1058</v>
      </c>
      <c r="C23" s="106">
        <v>0</v>
      </c>
      <c r="D23" s="106">
        <v>12600</v>
      </c>
      <c r="E23" s="106">
        <v>5000</v>
      </c>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48"/>
      <c r="C28" s="106"/>
      <c r="D28" s="106"/>
      <c r="E28" s="106"/>
    </row>
    <row r="29" spans="2:5">
      <c r="B29" s="352" t="s">
        <v>182</v>
      </c>
      <c r="C29" s="106"/>
      <c r="D29" s="345"/>
      <c r="E29" s="345"/>
    </row>
    <row r="30" spans="2:5">
      <c r="B30" s="352" t="s">
        <v>667</v>
      </c>
      <c r="C30" s="548" t="str">
        <f>IF(C31*0.1&lt;C29,"Exceed 10% Rule","")</f>
        <v/>
      </c>
      <c r="D30" s="353" t="str">
        <f>IF(D31*0.1&lt;D29,"Exceed 10% Rule","")</f>
        <v/>
      </c>
      <c r="E30" s="353" t="str">
        <f>IF(E31*0.1&lt;E29,"Exceed 10% Rule","")</f>
        <v/>
      </c>
    </row>
    <row r="31" spans="2:5">
      <c r="B31" s="354" t="s">
        <v>295</v>
      </c>
      <c r="C31" s="356">
        <f>SUM(C20:C29)</f>
        <v>85985</v>
      </c>
      <c r="D31" s="356">
        <f>SUM(D20:D29)</f>
        <v>95389</v>
      </c>
      <c r="E31" s="356">
        <f>SUM(E20:E29)</f>
        <v>90533</v>
      </c>
    </row>
    <row r="32" spans="2:5">
      <c r="B32" s="167" t="s">
        <v>58</v>
      </c>
      <c r="C32" s="119">
        <f>C18-C31</f>
        <v>-44</v>
      </c>
      <c r="D32" s="119">
        <f>D18-D31</f>
        <v>0</v>
      </c>
      <c r="E32" s="119">
        <f>E18-E31</f>
        <v>0</v>
      </c>
    </row>
    <row r="33" spans="2:5">
      <c r="B33" s="797" t="str">
        <f>CONCATENATE("",E1-2,"/",E1-1," Budget Authority Amount:")</f>
        <v>2012/2013 Budget Authority Amount:</v>
      </c>
      <c r="C33" s="303">
        <f>inputOth!B94</f>
        <v>87409</v>
      </c>
      <c r="D33" s="303">
        <f>inputPrYr!D47</f>
        <v>95389</v>
      </c>
      <c r="E33" s="547" t="str">
        <f>IF(E32&lt;0,"See Tab E","")</f>
        <v/>
      </c>
    </row>
    <row r="34" spans="2:5">
      <c r="B34" s="797"/>
      <c r="C34" s="358" t="str">
        <f>IF(C31&gt;C33,"See Tab A","")</f>
        <v/>
      </c>
      <c r="D34" s="358" t="str">
        <f>IF(D31&gt;D33,"See Tab C","")</f>
        <v/>
      </c>
      <c r="E34" s="136"/>
    </row>
    <row r="35" spans="2:5">
      <c r="B35" s="797"/>
      <c r="C35" s="358" t="str">
        <f>IF(C32&lt;0,"See Tab B","")</f>
        <v>See Tab B</v>
      </c>
      <c r="D35" s="358" t="str">
        <f>IF(D32&lt;0,"See Tab D","")</f>
        <v/>
      </c>
      <c r="E35" s="136"/>
    </row>
    <row r="36" spans="2:5">
      <c r="B36" s="84"/>
      <c r="C36" s="136"/>
      <c r="D36" s="136"/>
      <c r="E36" s="136"/>
    </row>
    <row r="37" spans="2:5">
      <c r="B37" s="91"/>
      <c r="C37" s="363"/>
      <c r="D37" s="363"/>
      <c r="E37" s="363"/>
    </row>
    <row r="38" spans="2:5">
      <c r="B38" s="91" t="s">
        <v>282</v>
      </c>
      <c r="C38" s="293" t="s">
        <v>806</v>
      </c>
      <c r="D38" s="204" t="s">
        <v>809</v>
      </c>
      <c r="E38" s="204" t="s">
        <v>808</v>
      </c>
    </row>
    <row r="39" spans="2:5">
      <c r="B39" s="561" t="str">
        <f>inputPrYr!B48</f>
        <v>Spec. Rev. TIF Develop Funds</v>
      </c>
      <c r="C39" s="359" t="str">
        <f>C5</f>
        <v>Actual for 2012</v>
      </c>
      <c r="D39" s="359" t="str">
        <f>D5</f>
        <v>Estimate for 2013</v>
      </c>
      <c r="E39" s="359" t="str">
        <f>E5</f>
        <v>Year for 2014</v>
      </c>
    </row>
    <row r="40" spans="2:5">
      <c r="B40" s="360" t="s">
        <v>57</v>
      </c>
      <c r="C40" s="106">
        <v>2343</v>
      </c>
      <c r="D40" s="346">
        <f>C65</f>
        <v>2343</v>
      </c>
      <c r="E40" s="346">
        <f>D65</f>
        <v>2343</v>
      </c>
    </row>
    <row r="41" spans="2:5" s="80" customFormat="1">
      <c r="B41" s="361" t="s">
        <v>59</v>
      </c>
      <c r="C41" s="124"/>
      <c r="D41" s="124"/>
      <c r="E41" s="124"/>
    </row>
    <row r="42" spans="2:5">
      <c r="B42" s="348" t="s">
        <v>1135</v>
      </c>
      <c r="C42" s="106">
        <v>0</v>
      </c>
      <c r="D42" s="106">
        <v>0</v>
      </c>
      <c r="E42" s="106">
        <v>0</v>
      </c>
    </row>
    <row r="43" spans="2:5">
      <c r="B43" s="348"/>
      <c r="C43" s="106"/>
      <c r="D43" s="106"/>
      <c r="E43" s="106"/>
    </row>
    <row r="44" spans="2:5">
      <c r="B44" s="348"/>
      <c r="C44" s="106"/>
      <c r="D44" s="106"/>
      <c r="E44" s="106"/>
    </row>
    <row r="45" spans="2:5">
      <c r="B45" s="348"/>
      <c r="C45" s="106"/>
      <c r="D45" s="106"/>
      <c r="E45" s="106"/>
    </row>
    <row r="46" spans="2:5">
      <c r="B46" s="348"/>
      <c r="C46" s="106"/>
      <c r="D46" s="106"/>
      <c r="E46" s="106"/>
    </row>
    <row r="47" spans="2:5">
      <c r="B47" s="362" t="s">
        <v>260</v>
      </c>
      <c r="C47" s="106"/>
      <c r="D47" s="106"/>
      <c r="E47" s="106"/>
    </row>
    <row r="48" spans="2:5">
      <c r="B48" s="352" t="s">
        <v>182</v>
      </c>
      <c r="C48" s="106"/>
      <c r="D48" s="345"/>
      <c r="E48" s="345"/>
    </row>
    <row r="49" spans="2:5">
      <c r="B49" s="352" t="s">
        <v>668</v>
      </c>
      <c r="C49" s="548" t="str">
        <f>IF(C50*0.1&lt;C48,"Exceed 10% Rule","")</f>
        <v/>
      </c>
      <c r="D49" s="353" t="str">
        <f>IF(D50*0.1&lt;D48,"Exceed 10% Rule","")</f>
        <v/>
      </c>
      <c r="E49" s="353" t="str">
        <f>IF(E50*0.1&lt;E48,"Exceed 10% Rule","")</f>
        <v/>
      </c>
    </row>
    <row r="50" spans="2:5">
      <c r="B50" s="354" t="s">
        <v>288</v>
      </c>
      <c r="C50" s="356">
        <f>SUM(C42:C48)</f>
        <v>0</v>
      </c>
      <c r="D50" s="356">
        <f>SUM(D42:D48)</f>
        <v>0</v>
      </c>
      <c r="E50" s="356">
        <f>SUM(E42:E48)</f>
        <v>0</v>
      </c>
    </row>
    <row r="51" spans="2:5">
      <c r="B51" s="354" t="s">
        <v>289</v>
      </c>
      <c r="C51" s="356">
        <f>C40+C50</f>
        <v>2343</v>
      </c>
      <c r="D51" s="356">
        <f>D40+D50</f>
        <v>2343</v>
      </c>
      <c r="E51" s="356">
        <f>E40+E50</f>
        <v>2343</v>
      </c>
    </row>
    <row r="52" spans="2:5">
      <c r="B52" s="167" t="s">
        <v>291</v>
      </c>
      <c r="C52" s="346"/>
      <c r="D52" s="346"/>
      <c r="E52" s="346"/>
    </row>
    <row r="53" spans="2:5">
      <c r="B53" s="348" t="s">
        <v>1071</v>
      </c>
      <c r="C53" s="106">
        <v>0</v>
      </c>
      <c r="D53" s="106">
        <v>0</v>
      </c>
      <c r="E53" s="106">
        <v>0</v>
      </c>
    </row>
    <row r="54" spans="2:5">
      <c r="B54" s="348"/>
      <c r="C54" s="106"/>
      <c r="D54" s="106"/>
      <c r="E54" s="106"/>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48"/>
      <c r="C61" s="106"/>
      <c r="D61" s="106"/>
      <c r="E61" s="106"/>
    </row>
    <row r="62" spans="2:5">
      <c r="B62" s="352" t="s">
        <v>182</v>
      </c>
      <c r="C62" s="106"/>
      <c r="D62" s="345"/>
      <c r="E62" s="345"/>
    </row>
    <row r="63" spans="2:5">
      <c r="B63" s="352" t="s">
        <v>667</v>
      </c>
      <c r="C63" s="548" t="str">
        <f>IF(C64*0.1&lt;C62,"Exceed 10% Rule","")</f>
        <v/>
      </c>
      <c r="D63" s="353" t="str">
        <f>IF(D64*0.1&lt;D62,"Exceed 10% Rule","")</f>
        <v/>
      </c>
      <c r="E63" s="353" t="str">
        <f>IF(E64*0.1&lt;E62,"Exceed 10% Rule","")</f>
        <v/>
      </c>
    </row>
    <row r="64" spans="2:5">
      <c r="B64" s="354" t="s">
        <v>295</v>
      </c>
      <c r="C64" s="356">
        <f>SUM(C53:C62)</f>
        <v>0</v>
      </c>
      <c r="D64" s="356">
        <f>SUM(D53:D62)</f>
        <v>0</v>
      </c>
      <c r="E64" s="356">
        <f>SUM(E53:E62)</f>
        <v>0</v>
      </c>
    </row>
    <row r="65" spans="2:5">
      <c r="B65" s="167" t="s">
        <v>58</v>
      </c>
      <c r="C65" s="119">
        <f>C51-C64</f>
        <v>2343</v>
      </c>
      <c r="D65" s="119">
        <f>D51-D64</f>
        <v>2343</v>
      </c>
      <c r="E65" s="119">
        <f>E51-E64</f>
        <v>2343</v>
      </c>
    </row>
    <row r="66" spans="2:5">
      <c r="B66" s="797" t="str">
        <f>CONCATENATE("",E1-2,"/",E1-1," Budget Authority Amount:")</f>
        <v>2012/2013 Budget Authority Amount:</v>
      </c>
      <c r="C66" s="303">
        <f>inputOth!B95</f>
        <v>0</v>
      </c>
      <c r="D66" s="303">
        <f>inputPrYr!D48</f>
        <v>0</v>
      </c>
      <c r="E66" s="547" t="str">
        <f>IF(E65&lt;0,"See Tab E","")</f>
        <v/>
      </c>
    </row>
    <row r="67" spans="2:5">
      <c r="B67" s="797"/>
      <c r="C67" s="358" t="str">
        <f>IF(C64&gt;C66,"See Tab A","")</f>
        <v/>
      </c>
      <c r="D67" s="358" t="str">
        <f>IF(D64&gt;D66,"See Tab C","")</f>
        <v/>
      </c>
      <c r="E67" s="84"/>
    </row>
    <row r="68" spans="2:5">
      <c r="B68" s="797"/>
      <c r="C68" s="358" t="str">
        <f>IF(C65&lt;0,"See Tab B","")</f>
        <v/>
      </c>
      <c r="D68" s="358" t="str">
        <f>IF(D65&lt;0,"See Tab D","")</f>
        <v/>
      </c>
      <c r="E68" s="84"/>
    </row>
    <row r="69" spans="2:5">
      <c r="B69" s="84"/>
      <c r="C69" s="84"/>
      <c r="D69" s="84"/>
      <c r="E69" s="84"/>
    </row>
    <row r="70" spans="2:5">
      <c r="B70" s="797" t="s">
        <v>298</v>
      </c>
      <c r="C70" s="297">
        <v>20</v>
      </c>
      <c r="D70" s="84"/>
      <c r="E70" s="84"/>
    </row>
  </sheetData>
  <conditionalFormatting sqref="C48">
    <cfRule type="cellIs" dxfId="98" priority="19" stopIfTrue="1" operator="greaterThan">
      <formula>$C$50*0.1</formula>
    </cfRule>
  </conditionalFormatting>
  <conditionalFormatting sqref="D48">
    <cfRule type="cellIs" dxfId="97" priority="18" stopIfTrue="1" operator="greaterThan">
      <formula>$D$50*0.1</formula>
    </cfRule>
  </conditionalFormatting>
  <conditionalFormatting sqref="E48">
    <cfRule type="cellIs" dxfId="96" priority="17" stopIfTrue="1" operator="greaterThan">
      <formula>$E$50*0.1</formula>
    </cfRule>
  </conditionalFormatting>
  <conditionalFormatting sqref="C62">
    <cfRule type="cellIs" dxfId="95" priority="16" stopIfTrue="1" operator="greaterThan">
      <formula>$C$64*0.1</formula>
    </cfRule>
  </conditionalFormatting>
  <conditionalFormatting sqref="D62">
    <cfRule type="cellIs" dxfId="94" priority="15" stopIfTrue="1" operator="greaterThan">
      <formula>$D$64*0.1</formula>
    </cfRule>
  </conditionalFormatting>
  <conditionalFormatting sqref="E62">
    <cfRule type="cellIs" dxfId="93" priority="14" stopIfTrue="1" operator="greaterThan">
      <formula>$E$64*0.1</formula>
    </cfRule>
  </conditionalFormatting>
  <conditionalFormatting sqref="C29">
    <cfRule type="cellIs" dxfId="92" priority="13" stopIfTrue="1" operator="greaterThan">
      <formula>$C$31*0.1</formula>
    </cfRule>
  </conditionalFormatting>
  <conditionalFormatting sqref="D29">
    <cfRule type="cellIs" dxfId="91" priority="12" stopIfTrue="1" operator="greaterThan">
      <formula>$D$31*0.1</formula>
    </cfRule>
  </conditionalFormatting>
  <conditionalFormatting sqref="E29">
    <cfRule type="cellIs" dxfId="90" priority="11" stopIfTrue="1" operator="greaterThan">
      <formula>$E$31*0.1</formula>
    </cfRule>
  </conditionalFormatting>
  <conditionalFormatting sqref="C15">
    <cfRule type="cellIs" dxfId="89" priority="10" stopIfTrue="1" operator="greaterThan">
      <formula>$C$17*0.1</formula>
    </cfRule>
  </conditionalFormatting>
  <conditionalFormatting sqref="D15">
    <cfRule type="cellIs" dxfId="88" priority="9" stopIfTrue="1" operator="greaterThan">
      <formula>$D$17*0.1</formula>
    </cfRule>
  </conditionalFormatting>
  <conditionalFormatting sqref="E15">
    <cfRule type="cellIs" dxfId="87" priority="8" stopIfTrue="1" operator="greaterThan">
      <formula>$E$17*0.1</formula>
    </cfRule>
  </conditionalFormatting>
  <conditionalFormatting sqref="E32 C32 E65 C65">
    <cfRule type="cellIs" dxfId="86" priority="7" stopIfTrue="1" operator="lessThan">
      <formula>0</formula>
    </cfRule>
  </conditionalFormatting>
  <conditionalFormatting sqref="C31">
    <cfRule type="cellIs" dxfId="85" priority="6" stopIfTrue="1" operator="greaterThan">
      <formula>$C$33</formula>
    </cfRule>
  </conditionalFormatting>
  <conditionalFormatting sqref="D31">
    <cfRule type="cellIs" dxfId="84" priority="5" stopIfTrue="1" operator="greaterThan">
      <formula>$D$33</formula>
    </cfRule>
  </conditionalFormatting>
  <conditionalFormatting sqref="C64">
    <cfRule type="cellIs" dxfId="83" priority="4" stopIfTrue="1" operator="greaterThan">
      <formula>$C$66</formula>
    </cfRule>
  </conditionalFormatting>
  <conditionalFormatting sqref="D64">
    <cfRule type="cellIs" dxfId="82" priority="3" stopIfTrue="1" operator="greaterThan">
      <formula>$D$66</formula>
    </cfRule>
  </conditionalFormatting>
  <conditionalFormatting sqref="D65">
    <cfRule type="cellIs" dxfId="81" priority="2" stopIfTrue="1" operator="lessThan">
      <formula>0</formula>
    </cfRule>
  </conditionalFormatting>
  <conditionalFormatting sqref="D32">
    <cfRule type="cellIs" dxfId="80" priority="1" stopIfTrue="1" operator="lessThan">
      <formula>0</formula>
    </cfRule>
  </conditionalFormatting>
  <pageMargins left="0.7" right="0.7" top="0.75" bottom="0.75" header="0.3" footer="0.3"/>
</worksheet>
</file>

<file path=xl/worksheets/sheet27.xml><?xml version="1.0" encoding="utf-8"?>
<worksheet xmlns="http://schemas.openxmlformats.org/spreadsheetml/2006/main" xmlns:r="http://schemas.openxmlformats.org/officeDocument/2006/relationships">
  <dimension ref="B1:E69"/>
  <sheetViews>
    <sheetView workbookViewId="0">
      <selection activeCell="B29" sqref="B29"/>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inputPrYr!B49</f>
        <v>Bonner Pointe TIF Increment</v>
      </c>
      <c r="C5" s="440" t="str">
        <f>CONCATENATE("Actual for ",E1-2,"")</f>
        <v>Actual for 2012</v>
      </c>
      <c r="D5" s="440" t="str">
        <f>CONCATENATE("Estimate for ",E1-1,"")</f>
        <v>Estimate for 2013</v>
      </c>
      <c r="E5" s="268" t="str">
        <f>CONCATENATE("Year for ",E1,"")</f>
        <v>Year for 2014</v>
      </c>
    </row>
    <row r="6" spans="2:5">
      <c r="B6" s="360" t="s">
        <v>57</v>
      </c>
      <c r="C6" s="106">
        <v>9500</v>
      </c>
      <c r="D6" s="346">
        <f>C31</f>
        <v>0</v>
      </c>
      <c r="E6" s="346">
        <f>D31</f>
        <v>0</v>
      </c>
    </row>
    <row r="7" spans="2:5" s="80" customFormat="1">
      <c r="B7" s="361" t="s">
        <v>59</v>
      </c>
      <c r="C7" s="124"/>
      <c r="D7" s="124"/>
      <c r="E7" s="124"/>
    </row>
    <row r="8" spans="2:5">
      <c r="B8" s="348" t="s">
        <v>1127</v>
      </c>
      <c r="C8" s="106">
        <v>115096</v>
      </c>
      <c r="D8" s="106">
        <v>140000</v>
      </c>
      <c r="E8" s="106">
        <v>180000</v>
      </c>
    </row>
    <row r="9" spans="2:5">
      <c r="B9" s="348"/>
      <c r="C9" s="106"/>
      <c r="D9" s="106"/>
      <c r="E9" s="106"/>
    </row>
    <row r="10" spans="2:5">
      <c r="B10" s="348"/>
      <c r="C10" s="106"/>
      <c r="D10" s="106"/>
      <c r="E10" s="106"/>
    </row>
    <row r="11" spans="2:5">
      <c r="B11" s="348"/>
      <c r="C11" s="106"/>
      <c r="D11" s="106"/>
      <c r="E11" s="106"/>
    </row>
    <row r="12" spans="2:5">
      <c r="B12" s="348"/>
      <c r="C12" s="106"/>
      <c r="D12" s="106"/>
      <c r="E12" s="106"/>
    </row>
    <row r="13" spans="2:5">
      <c r="B13" s="362" t="s">
        <v>260</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115096</v>
      </c>
      <c r="D16" s="356">
        <f>SUM(D8:D14)</f>
        <v>140000</v>
      </c>
      <c r="E16" s="356">
        <f>SUM(E8:E14)</f>
        <v>180000</v>
      </c>
    </row>
    <row r="17" spans="2:5">
      <c r="B17" s="354" t="s">
        <v>289</v>
      </c>
      <c r="C17" s="356">
        <f>C6+C16</f>
        <v>124596</v>
      </c>
      <c r="D17" s="356">
        <f>D6+D16</f>
        <v>140000</v>
      </c>
      <c r="E17" s="356">
        <f>E6+E16</f>
        <v>180000</v>
      </c>
    </row>
    <row r="18" spans="2:5">
      <c r="B18" s="167" t="s">
        <v>291</v>
      </c>
      <c r="C18" s="346"/>
      <c r="D18" s="346"/>
      <c r="E18" s="346"/>
    </row>
    <row r="19" spans="2:5">
      <c r="B19" s="348" t="s">
        <v>1071</v>
      </c>
      <c r="C19" s="106"/>
      <c r="D19" s="106"/>
      <c r="E19" s="106"/>
    </row>
    <row r="20" spans="2:5">
      <c r="B20" s="348" t="s">
        <v>1128</v>
      </c>
      <c r="C20" s="106">
        <v>623</v>
      </c>
      <c r="D20" s="106">
        <v>700</v>
      </c>
      <c r="E20" s="106">
        <v>900</v>
      </c>
    </row>
    <row r="21" spans="2:5">
      <c r="B21" s="348" t="s">
        <v>1129</v>
      </c>
      <c r="C21" s="106">
        <v>123973</v>
      </c>
      <c r="D21" s="106">
        <v>139300</v>
      </c>
      <c r="E21" s="106">
        <v>179100</v>
      </c>
    </row>
    <row r="22" spans="2:5">
      <c r="B22" s="348" t="s">
        <v>260</v>
      </c>
      <c r="C22" s="106"/>
      <c r="D22" s="106"/>
      <c r="E22" s="106"/>
    </row>
    <row r="23" spans="2:5">
      <c r="B23" s="348"/>
      <c r="C23" s="106"/>
      <c r="D23" s="106"/>
      <c r="E23" s="106"/>
    </row>
    <row r="24" spans="2:5">
      <c r="B24" s="348"/>
      <c r="C24" s="106"/>
      <c r="D24" s="106"/>
      <c r="E24" s="106"/>
    </row>
    <row r="25" spans="2:5">
      <c r="B25" s="348"/>
      <c r="C25" s="106"/>
      <c r="D25" s="106"/>
      <c r="E25" s="106"/>
    </row>
    <row r="26" spans="2:5">
      <c r="B26" s="348"/>
      <c r="C26" s="106"/>
      <c r="D26" s="106"/>
      <c r="E26" s="106"/>
    </row>
    <row r="27" spans="2:5">
      <c r="B27" s="348"/>
      <c r="C27" s="106"/>
      <c r="D27" s="106"/>
      <c r="E27" s="106"/>
    </row>
    <row r="28" spans="2:5">
      <c r="B28" s="352" t="s">
        <v>182</v>
      </c>
      <c r="C28" s="106"/>
      <c r="D28" s="345"/>
      <c r="E28" s="345"/>
    </row>
    <row r="29" spans="2:5">
      <c r="B29" s="352" t="s">
        <v>667</v>
      </c>
      <c r="C29" s="548" t="str">
        <f>IF(C30*0.1&lt;C28,"Exceed 10% Rule","")</f>
        <v/>
      </c>
      <c r="D29" s="353" t="str">
        <f>IF(D30*0.1&lt;D28,"Exceed 10% Rule","")</f>
        <v/>
      </c>
      <c r="E29" s="353" t="str">
        <f>IF(E30*0.1&lt;E28,"Exceed 10% Rule","")</f>
        <v/>
      </c>
    </row>
    <row r="30" spans="2:5">
      <c r="B30" s="354" t="s">
        <v>295</v>
      </c>
      <c r="C30" s="356">
        <f>SUM(C19:C28)</f>
        <v>124596</v>
      </c>
      <c r="D30" s="356">
        <f>SUM(D19:D28)</f>
        <v>140000</v>
      </c>
      <c r="E30" s="356">
        <f>SUM(E19:E28)</f>
        <v>180000</v>
      </c>
    </row>
    <row r="31" spans="2:5">
      <c r="B31" s="167" t="s">
        <v>58</v>
      </c>
      <c r="C31" s="119">
        <f>C17-C30</f>
        <v>0</v>
      </c>
      <c r="D31" s="119">
        <f>D17-D30</f>
        <v>0</v>
      </c>
      <c r="E31" s="119">
        <f>E17-E30</f>
        <v>0</v>
      </c>
    </row>
    <row r="32" spans="2:5">
      <c r="B32" s="797" t="str">
        <f>CONCATENATE("",E1-2,"/",E1-1," Budget Authority Amount:")</f>
        <v>2012/2013 Budget Authority Amount:</v>
      </c>
      <c r="C32" s="303">
        <f>inputOth!B96</f>
        <v>139500</v>
      </c>
      <c r="D32" s="303">
        <f>inputPrYr!D49</f>
        <v>140000</v>
      </c>
      <c r="E32" s="547" t="str">
        <f>IF(E31&lt;0,"See Tab E","")</f>
        <v/>
      </c>
    </row>
    <row r="33" spans="2:5">
      <c r="B33" s="797"/>
      <c r="C33" s="358" t="str">
        <f>IF(C30&gt;C32,"See Tab A","")</f>
        <v/>
      </c>
      <c r="D33" s="358" t="str">
        <f>IF(D30&gt;D32,"See Tab C","")</f>
        <v/>
      </c>
      <c r="E33" s="136"/>
    </row>
    <row r="34" spans="2:5">
      <c r="B34" s="7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inputPrYr!B50</f>
        <v>CID Development Fees</v>
      </c>
      <c r="C38" s="359" t="str">
        <f>C5</f>
        <v>Actual for 2012</v>
      </c>
      <c r="D38" s="359" t="str">
        <f>D5</f>
        <v>Estimate for 2013</v>
      </c>
      <c r="E38" s="359" t="str">
        <f>E5</f>
        <v>Year for 2014</v>
      </c>
    </row>
    <row r="39" spans="2:5">
      <c r="B39" s="360" t="s">
        <v>57</v>
      </c>
      <c r="C39" s="106">
        <v>1190</v>
      </c>
      <c r="D39" s="346">
        <f>C64</f>
        <v>11190</v>
      </c>
      <c r="E39" s="346">
        <f>D64</f>
        <v>0</v>
      </c>
    </row>
    <row r="40" spans="2:5" s="80" customFormat="1">
      <c r="B40" s="361" t="s">
        <v>59</v>
      </c>
      <c r="C40" s="124"/>
      <c r="D40" s="124"/>
      <c r="E40" s="124"/>
    </row>
    <row r="41" spans="2:5">
      <c r="B41" s="348" t="s">
        <v>1135</v>
      </c>
      <c r="C41" s="106">
        <v>10000</v>
      </c>
      <c r="D41" s="106">
        <v>0</v>
      </c>
      <c r="E41" s="106">
        <v>0</v>
      </c>
    </row>
    <row r="42" spans="2:5">
      <c r="B42" s="348"/>
      <c r="C42" s="106"/>
      <c r="D42" s="106"/>
      <c r="E42" s="106"/>
    </row>
    <row r="43" spans="2:5">
      <c r="B43" s="348"/>
      <c r="C43" s="106"/>
      <c r="D43" s="106"/>
      <c r="E43" s="106"/>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10000</v>
      </c>
      <c r="D49" s="356">
        <f>SUM(D41:D47)</f>
        <v>0</v>
      </c>
      <c r="E49" s="356">
        <f>SUM(E41:E47)</f>
        <v>0</v>
      </c>
    </row>
    <row r="50" spans="2:5">
      <c r="B50" s="354" t="s">
        <v>289</v>
      </c>
      <c r="C50" s="356">
        <f>C39+C49</f>
        <v>11190</v>
      </c>
      <c r="D50" s="356">
        <f>D39+D49</f>
        <v>11190</v>
      </c>
      <c r="E50" s="356">
        <f>E39+E49</f>
        <v>0</v>
      </c>
    </row>
    <row r="51" spans="2:5">
      <c r="B51" s="167" t="s">
        <v>291</v>
      </c>
      <c r="C51" s="346"/>
      <c r="D51" s="346"/>
      <c r="E51" s="346"/>
    </row>
    <row r="52" spans="2:5">
      <c r="B52" s="348" t="s">
        <v>1071</v>
      </c>
      <c r="C52" s="106">
        <v>0</v>
      </c>
      <c r="D52" s="106">
        <v>11190</v>
      </c>
      <c r="E52" s="106">
        <v>0</v>
      </c>
    </row>
    <row r="53" spans="2:5">
      <c r="B53" s="348" t="s">
        <v>260</v>
      </c>
      <c r="C53" s="106" t="s">
        <v>260</v>
      </c>
      <c r="D53" s="106" t="s">
        <v>260</v>
      </c>
      <c r="E53" s="106" t="s">
        <v>260</v>
      </c>
    </row>
    <row r="54" spans="2:5">
      <c r="B54" s="348" t="s">
        <v>260</v>
      </c>
      <c r="C54" s="106" t="s">
        <v>260</v>
      </c>
      <c r="D54" s="106" t="s">
        <v>260</v>
      </c>
      <c r="E54" s="106" t="s">
        <v>260</v>
      </c>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354" t="s">
        <v>295</v>
      </c>
      <c r="C63" s="356">
        <f>SUM(C52:C61)</f>
        <v>0</v>
      </c>
      <c r="D63" s="356">
        <f>SUM(D52:D61)</f>
        <v>11190</v>
      </c>
      <c r="E63" s="356">
        <f>SUM(E52:E61)</f>
        <v>0</v>
      </c>
    </row>
    <row r="64" spans="2:5">
      <c r="B64" s="167" t="s">
        <v>58</v>
      </c>
      <c r="C64" s="119">
        <f>C50-C63</f>
        <v>11190</v>
      </c>
      <c r="D64" s="119">
        <f>D50-D63</f>
        <v>0</v>
      </c>
      <c r="E64" s="119">
        <f>E50-E63</f>
        <v>0</v>
      </c>
    </row>
    <row r="65" spans="2:5">
      <c r="B65" s="797" t="str">
        <f>CONCATENATE("",E1-2,"/",E1-1," Budget Authority Amount:")</f>
        <v>2012/2013 Budget Authority Amount:</v>
      </c>
      <c r="C65" s="303">
        <f>inputOth!B97</f>
        <v>10000</v>
      </c>
      <c r="D65" s="303">
        <f>inputPrYr!D50</f>
        <v>11190</v>
      </c>
      <c r="E65" s="547" t="str">
        <f>IF(E64&lt;0,"See Tab E","")</f>
        <v/>
      </c>
    </row>
    <row r="66" spans="2:5">
      <c r="B66" s="797"/>
      <c r="C66" s="358" t="str">
        <f>IF(C63&gt;C65,"See Tab A","")</f>
        <v/>
      </c>
      <c r="D66" s="358" t="str">
        <f>IF(D63&gt;D65,"See Tab C","")</f>
        <v/>
      </c>
      <c r="E66" s="84"/>
    </row>
    <row r="67" spans="2:5">
      <c r="B67" s="797"/>
      <c r="C67" s="358" t="str">
        <f>IF(C64&lt;0,"See Tab B","")</f>
        <v/>
      </c>
      <c r="D67" s="358" t="str">
        <f>IF(D64&lt;0,"See Tab D","")</f>
        <v/>
      </c>
      <c r="E67" s="84"/>
    </row>
    <row r="68" spans="2:5">
      <c r="B68" s="84"/>
      <c r="C68" s="84"/>
      <c r="D68" s="84"/>
      <c r="E68" s="84"/>
    </row>
    <row r="69" spans="2:5">
      <c r="B69" s="797" t="s">
        <v>298</v>
      </c>
      <c r="C69" s="297">
        <v>21</v>
      </c>
      <c r="D69" s="84"/>
      <c r="E69" s="84"/>
    </row>
  </sheetData>
  <conditionalFormatting sqref="C47">
    <cfRule type="cellIs" dxfId="79" priority="19" stopIfTrue="1" operator="greaterThan">
      <formula>$C$49*0.1</formula>
    </cfRule>
  </conditionalFormatting>
  <conditionalFormatting sqref="D47">
    <cfRule type="cellIs" dxfId="78" priority="18" stopIfTrue="1" operator="greaterThan">
      <formula>$D$49*0.1</formula>
    </cfRule>
  </conditionalFormatting>
  <conditionalFormatting sqref="E47">
    <cfRule type="cellIs" dxfId="77" priority="17" stopIfTrue="1" operator="greaterThan">
      <formula>$E$49*0.1</formula>
    </cfRule>
  </conditionalFormatting>
  <conditionalFormatting sqref="C61">
    <cfRule type="cellIs" dxfId="76" priority="16" stopIfTrue="1" operator="greaterThan">
      <formula>$C$63*0.1</formula>
    </cfRule>
  </conditionalFormatting>
  <conditionalFormatting sqref="D61">
    <cfRule type="cellIs" dxfId="75" priority="15" stopIfTrue="1" operator="greaterThan">
      <formula>$D$63*0.1</formula>
    </cfRule>
  </conditionalFormatting>
  <conditionalFormatting sqref="E61">
    <cfRule type="cellIs" dxfId="74" priority="14" stopIfTrue="1" operator="greaterThan">
      <formula>$E$63*0.1</formula>
    </cfRule>
  </conditionalFormatting>
  <conditionalFormatting sqref="C28">
    <cfRule type="cellIs" dxfId="73" priority="13" stopIfTrue="1" operator="greaterThan">
      <formula>$C$30*0.1</formula>
    </cfRule>
  </conditionalFormatting>
  <conditionalFormatting sqref="D28">
    <cfRule type="cellIs" dxfId="72" priority="12" stopIfTrue="1" operator="greaterThan">
      <formula>$D$30*0.1</formula>
    </cfRule>
  </conditionalFormatting>
  <conditionalFormatting sqref="E28">
    <cfRule type="cellIs" dxfId="71" priority="11" stopIfTrue="1" operator="greaterThan">
      <formula>$E$30*0.1</formula>
    </cfRule>
  </conditionalFormatting>
  <conditionalFormatting sqref="C14">
    <cfRule type="cellIs" dxfId="70" priority="10" stopIfTrue="1" operator="greaterThan">
      <formula>$C$16*0.1</formula>
    </cfRule>
  </conditionalFormatting>
  <conditionalFormatting sqref="D14">
    <cfRule type="cellIs" dxfId="69" priority="9" stopIfTrue="1" operator="greaterThan">
      <formula>$D$16*0.1</formula>
    </cfRule>
  </conditionalFormatting>
  <conditionalFormatting sqref="E14">
    <cfRule type="cellIs" dxfId="68" priority="8" stopIfTrue="1" operator="greaterThan">
      <formula>$E$16*0.1</formula>
    </cfRule>
  </conditionalFormatting>
  <conditionalFormatting sqref="E31 C31 E64 C64">
    <cfRule type="cellIs" dxfId="67" priority="7" stopIfTrue="1" operator="lessThan">
      <formula>0</formula>
    </cfRule>
  </conditionalFormatting>
  <conditionalFormatting sqref="C30">
    <cfRule type="cellIs" dxfId="66" priority="6" stopIfTrue="1" operator="greaterThan">
      <formula>$C$32</formula>
    </cfRule>
  </conditionalFormatting>
  <conditionalFormatting sqref="D30">
    <cfRule type="cellIs" dxfId="65" priority="5" stopIfTrue="1" operator="greaterThan">
      <formula>$D$32</formula>
    </cfRule>
  </conditionalFormatting>
  <conditionalFormatting sqref="C63">
    <cfRule type="cellIs" dxfId="64" priority="4" stopIfTrue="1" operator="greaterThan">
      <formula>$C$65</formula>
    </cfRule>
  </conditionalFormatting>
  <conditionalFormatting sqref="D63">
    <cfRule type="cellIs" dxfId="63" priority="3" stopIfTrue="1" operator="greaterThan">
      <formula>$D$65</formula>
    </cfRule>
  </conditionalFormatting>
  <conditionalFormatting sqref="D64">
    <cfRule type="cellIs" dxfId="62" priority="2" stopIfTrue="1" operator="lessThan">
      <formula>0</formula>
    </cfRule>
  </conditionalFormatting>
  <conditionalFormatting sqref="D31">
    <cfRule type="cellIs" dxfId="61" priority="1" stopIfTrue="1" operator="lessThan">
      <formula>0</formula>
    </cfRule>
  </conditionalFormatting>
  <pageMargins left="0.7" right="0.7" top="0.75" bottom="0.75" header="0.3" footer="0.3"/>
</worksheet>
</file>

<file path=xl/worksheets/sheet28.xml><?xml version="1.0" encoding="utf-8"?>
<worksheet xmlns="http://schemas.openxmlformats.org/spreadsheetml/2006/main" xmlns:r="http://schemas.openxmlformats.org/officeDocument/2006/relationships">
  <dimension ref="A1:E69"/>
  <sheetViews>
    <sheetView workbookViewId="0">
      <selection activeCell="B29" sqref="B29"/>
    </sheetView>
  </sheetViews>
  <sheetFormatPr defaultColWidth="8.88671875" defaultRowHeight="15.75"/>
  <cols>
    <col min="1" max="1" width="2.44140625" style="68" customWidth="1"/>
    <col min="2" max="2" width="31.109375" style="68" customWidth="1"/>
    <col min="3" max="5" width="15.77734375" style="68" customWidth="1"/>
    <col min="6" max="16384" width="8.88671875" style="68"/>
  </cols>
  <sheetData>
    <row r="1" spans="2:5">
      <c r="B1" s="253" t="str">
        <f>(inputPrYr!D3)</f>
        <v>City of Bonner Springs</v>
      </c>
      <c r="C1" s="84"/>
      <c r="D1" s="84"/>
      <c r="E1" s="277">
        <f>inputPrYr!C10</f>
        <v>2014</v>
      </c>
    </row>
    <row r="2" spans="2:5">
      <c r="B2" s="84"/>
      <c r="C2" s="84"/>
      <c r="D2" s="84"/>
      <c r="E2" s="228"/>
    </row>
    <row r="3" spans="2:5">
      <c r="B3" s="342" t="s">
        <v>7</v>
      </c>
      <c r="C3" s="291"/>
      <c r="D3" s="291"/>
      <c r="E3" s="291"/>
    </row>
    <row r="4" spans="2:5">
      <c r="B4" s="91" t="s">
        <v>282</v>
      </c>
      <c r="C4" s="614" t="s">
        <v>806</v>
      </c>
      <c r="D4" s="615" t="s">
        <v>807</v>
      </c>
      <c r="E4" s="204" t="s">
        <v>808</v>
      </c>
    </row>
    <row r="5" spans="2:5">
      <c r="B5" s="561" t="str">
        <f>inputPrYr!B51</f>
        <v>Bonner Springs Center CID</v>
      </c>
      <c r="C5" s="440" t="str">
        <f>CONCATENATE("Actual for ",E1-2,"")</f>
        <v>Actual for 2012</v>
      </c>
      <c r="D5" s="440" t="str">
        <f>CONCATENATE("Estimate for ",E1-1,"")</f>
        <v>Estimate for 2013</v>
      </c>
      <c r="E5" s="268" t="str">
        <f>CONCATENATE("Year for ",E1,"")</f>
        <v>Year for 2014</v>
      </c>
    </row>
    <row r="6" spans="2:5">
      <c r="B6" s="360" t="s">
        <v>57</v>
      </c>
      <c r="C6" s="106">
        <v>0</v>
      </c>
      <c r="D6" s="346">
        <f>C31</f>
        <v>0</v>
      </c>
      <c r="E6" s="346">
        <f>D31</f>
        <v>0</v>
      </c>
    </row>
    <row r="7" spans="2:5" s="80" customFormat="1">
      <c r="B7" s="361" t="s">
        <v>59</v>
      </c>
      <c r="C7" s="124"/>
      <c r="D7" s="124"/>
      <c r="E7" s="124"/>
    </row>
    <row r="8" spans="2:5">
      <c r="B8" s="348" t="s">
        <v>1131</v>
      </c>
      <c r="C8" s="106">
        <v>58446</v>
      </c>
      <c r="D8" s="106">
        <v>100000</v>
      </c>
      <c r="E8" s="106">
        <v>100000</v>
      </c>
    </row>
    <row r="9" spans="2:5">
      <c r="B9" s="348"/>
      <c r="C9" s="106"/>
      <c r="D9" s="106"/>
      <c r="E9" s="106"/>
    </row>
    <row r="10" spans="2:5">
      <c r="B10" s="348"/>
      <c r="C10" s="106"/>
      <c r="D10" s="106"/>
      <c r="E10" s="106"/>
    </row>
    <row r="11" spans="2:5">
      <c r="B11" s="348"/>
      <c r="C11" s="106"/>
      <c r="D11" s="106"/>
      <c r="E11" s="106"/>
    </row>
    <row r="12" spans="2:5">
      <c r="B12" s="348"/>
      <c r="C12" s="106"/>
      <c r="D12" s="106"/>
      <c r="E12" s="106"/>
    </row>
    <row r="13" spans="2:5">
      <c r="B13" s="362" t="s">
        <v>287</v>
      </c>
      <c r="C13" s="106"/>
      <c r="D13" s="106"/>
      <c r="E13" s="106"/>
    </row>
    <row r="14" spans="2:5">
      <c r="B14" s="352" t="s">
        <v>182</v>
      </c>
      <c r="C14" s="106"/>
      <c r="D14" s="345"/>
      <c r="E14" s="345"/>
    </row>
    <row r="15" spans="2:5">
      <c r="B15" s="352" t="s">
        <v>668</v>
      </c>
      <c r="C15" s="548" t="str">
        <f>IF(C16*0.1&lt;C14,"Exceed 10% Rule","")</f>
        <v/>
      </c>
      <c r="D15" s="353" t="str">
        <f>IF(D16*0.1&lt;D14,"Exceed 10% Rule","")</f>
        <v/>
      </c>
      <c r="E15" s="353" t="str">
        <f>IF(E16*0.1&lt;E14,"Exceed 10% Rule","")</f>
        <v/>
      </c>
    </row>
    <row r="16" spans="2:5">
      <c r="B16" s="354" t="s">
        <v>288</v>
      </c>
      <c r="C16" s="356">
        <f>SUM(C8:C14)</f>
        <v>58446</v>
      </c>
      <c r="D16" s="356">
        <f>SUM(D8:D14)</f>
        <v>100000</v>
      </c>
      <c r="E16" s="356">
        <f>SUM(E8:E14)</f>
        <v>100000</v>
      </c>
    </row>
    <row r="17" spans="1:5">
      <c r="B17" s="354" t="s">
        <v>289</v>
      </c>
      <c r="C17" s="356">
        <f>C6+C16</f>
        <v>58446</v>
      </c>
      <c r="D17" s="356">
        <f>D6+D16</f>
        <v>100000</v>
      </c>
      <c r="E17" s="356">
        <f>E6+E16</f>
        <v>100000</v>
      </c>
    </row>
    <row r="18" spans="1:5">
      <c r="B18" s="167" t="s">
        <v>291</v>
      </c>
      <c r="C18" s="346"/>
      <c r="D18" s="346"/>
      <c r="E18" s="346"/>
    </row>
    <row r="19" spans="1:5">
      <c r="B19" s="348" t="s">
        <v>1140</v>
      </c>
      <c r="C19" s="106" t="s">
        <v>260</v>
      </c>
      <c r="D19" s="106" t="s">
        <v>260</v>
      </c>
      <c r="E19" s="106" t="s">
        <v>260</v>
      </c>
    </row>
    <row r="20" spans="1:5">
      <c r="B20" s="348" t="s">
        <v>1132</v>
      </c>
      <c r="C20" s="106">
        <v>2922</v>
      </c>
      <c r="D20" s="106">
        <v>5000</v>
      </c>
      <c r="E20" s="106">
        <v>5000</v>
      </c>
    </row>
    <row r="21" spans="1:5">
      <c r="A21" s="68" t="s">
        <v>260</v>
      </c>
      <c r="B21" s="348" t="s">
        <v>1133</v>
      </c>
      <c r="C21" s="106">
        <v>55524</v>
      </c>
      <c r="D21" s="106">
        <v>95000</v>
      </c>
      <c r="E21" s="106">
        <v>95000</v>
      </c>
    </row>
    <row r="22" spans="1:5">
      <c r="B22" s="348"/>
      <c r="C22" s="106"/>
      <c r="D22" s="106"/>
      <c r="E22" s="106"/>
    </row>
    <row r="23" spans="1:5">
      <c r="B23" s="348"/>
      <c r="C23" s="106"/>
      <c r="D23" s="106"/>
      <c r="E23" s="106"/>
    </row>
    <row r="24" spans="1:5">
      <c r="B24" s="348"/>
      <c r="C24" s="106"/>
      <c r="D24" s="106"/>
      <c r="E24" s="106"/>
    </row>
    <row r="25" spans="1:5">
      <c r="B25" s="348"/>
      <c r="C25" s="106"/>
      <c r="D25" s="106"/>
      <c r="E25" s="106"/>
    </row>
    <row r="26" spans="1:5">
      <c r="B26" s="348"/>
      <c r="C26" s="106"/>
      <c r="D26" s="106"/>
      <c r="E26" s="106"/>
    </row>
    <row r="27" spans="1:5">
      <c r="B27" s="348"/>
      <c r="C27" s="106"/>
      <c r="D27" s="106"/>
      <c r="E27" s="106"/>
    </row>
    <row r="28" spans="1:5">
      <c r="B28" s="352" t="s">
        <v>182</v>
      </c>
      <c r="C28" s="106"/>
      <c r="D28" s="345"/>
      <c r="E28" s="345"/>
    </row>
    <row r="29" spans="1:5">
      <c r="B29" s="352" t="s">
        <v>667</v>
      </c>
      <c r="C29" s="548" t="str">
        <f>IF(C30*0.1&lt;C28,"Exceed 10% Rule","")</f>
        <v/>
      </c>
      <c r="D29" s="353" t="str">
        <f>IF(D30*0.1&lt;D28,"Exceed 10% Rule","")</f>
        <v/>
      </c>
      <c r="E29" s="353" t="str">
        <f>IF(E30*0.1&lt;E28,"Exceed 10% Rule","")</f>
        <v/>
      </c>
    </row>
    <row r="30" spans="1:5">
      <c r="B30" s="354" t="s">
        <v>295</v>
      </c>
      <c r="C30" s="356">
        <f>SUM(C19:C28)</f>
        <v>58446</v>
      </c>
      <c r="D30" s="356">
        <f>SUM(D19:D28)</f>
        <v>100000</v>
      </c>
      <c r="E30" s="356">
        <f>SUM(E19:E28)</f>
        <v>100000</v>
      </c>
    </row>
    <row r="31" spans="1:5">
      <c r="B31" s="167" t="s">
        <v>58</v>
      </c>
      <c r="C31" s="119">
        <f>C17-C30</f>
        <v>0</v>
      </c>
      <c r="D31" s="119">
        <f>D17-D30</f>
        <v>0</v>
      </c>
      <c r="E31" s="119">
        <f>E17-E30</f>
        <v>0</v>
      </c>
    </row>
    <row r="32" spans="1:5">
      <c r="B32" s="797" t="str">
        <f>CONCATENATE("",E1-2,"/",E1-1," Budget Authority Amount:")</f>
        <v>2012/2013 Budget Authority Amount:</v>
      </c>
      <c r="C32" s="303">
        <f>inputOth!B98</f>
        <v>160000</v>
      </c>
      <c r="D32" s="303">
        <f>inputPrYr!D51</f>
        <v>100000</v>
      </c>
      <c r="E32" s="547" t="str">
        <f>IF(E31&lt;0,"See Tab E","")</f>
        <v/>
      </c>
    </row>
    <row r="33" spans="2:5">
      <c r="B33" s="797"/>
      <c r="C33" s="358" t="str">
        <f>IF(C30&gt;C32,"See Tab A","")</f>
        <v/>
      </c>
      <c r="D33" s="358" t="str">
        <f>IF(D30&gt;D32,"See Tab C","")</f>
        <v/>
      </c>
      <c r="E33" s="136"/>
    </row>
    <row r="34" spans="2:5">
      <c r="B34" s="797"/>
      <c r="C34" s="358" t="str">
        <f>IF(C31&lt;0,"See Tab B","")</f>
        <v/>
      </c>
      <c r="D34" s="358" t="str">
        <f>IF(D31&lt;0,"See Tab D","")</f>
        <v/>
      </c>
      <c r="E34" s="136"/>
    </row>
    <row r="35" spans="2:5">
      <c r="B35" s="84"/>
      <c r="C35" s="136"/>
      <c r="D35" s="136"/>
      <c r="E35" s="136"/>
    </row>
    <row r="36" spans="2:5">
      <c r="B36" s="91"/>
      <c r="C36" s="363"/>
      <c r="D36" s="363"/>
      <c r="E36" s="363"/>
    </row>
    <row r="37" spans="2:5">
      <c r="B37" s="91" t="s">
        <v>282</v>
      </c>
      <c r="C37" s="293" t="s">
        <v>806</v>
      </c>
      <c r="D37" s="204" t="s">
        <v>809</v>
      </c>
      <c r="E37" s="204" t="s">
        <v>808</v>
      </c>
    </row>
    <row r="38" spans="2:5">
      <c r="B38" s="561" t="str">
        <f>inputPrYr!B52</f>
        <v>Bonner Springs Ctr City Contribution</v>
      </c>
      <c r="C38" s="359" t="str">
        <f>C5</f>
        <v>Actual for 2012</v>
      </c>
      <c r="D38" s="359" t="str">
        <f>D5</f>
        <v>Estimate for 2013</v>
      </c>
      <c r="E38" s="359" t="str">
        <f>E5</f>
        <v>Year for 2014</v>
      </c>
    </row>
    <row r="39" spans="2:5">
      <c r="B39" s="360" t="s">
        <v>57</v>
      </c>
      <c r="C39" s="106">
        <v>0</v>
      </c>
      <c r="D39" s="346">
        <f>C64</f>
        <v>0</v>
      </c>
      <c r="E39" s="346">
        <f>D64</f>
        <v>0</v>
      </c>
    </row>
    <row r="40" spans="2:5" s="80" customFormat="1">
      <c r="B40" s="361" t="s">
        <v>59</v>
      </c>
      <c r="C40" s="124"/>
      <c r="D40" s="124"/>
      <c r="E40" s="124"/>
    </row>
    <row r="41" spans="2:5">
      <c r="B41" s="348" t="s">
        <v>1130</v>
      </c>
      <c r="C41" s="106">
        <v>18144</v>
      </c>
      <c r="D41" s="106">
        <v>33000</v>
      </c>
      <c r="E41" s="106">
        <v>33000</v>
      </c>
    </row>
    <row r="42" spans="2:5">
      <c r="B42" s="348"/>
      <c r="C42" s="106"/>
      <c r="D42" s="106"/>
      <c r="E42" s="106"/>
    </row>
    <row r="43" spans="2:5">
      <c r="B43" s="348"/>
      <c r="C43" s="106"/>
      <c r="D43" s="106"/>
      <c r="E43" s="106"/>
    </row>
    <row r="44" spans="2:5">
      <c r="B44" s="348"/>
      <c r="C44" s="106"/>
      <c r="D44" s="106"/>
      <c r="E44" s="106"/>
    </row>
    <row r="45" spans="2:5">
      <c r="B45" s="348"/>
      <c r="C45" s="106"/>
      <c r="D45" s="106"/>
      <c r="E45" s="106"/>
    </row>
    <row r="46" spans="2:5">
      <c r="B46" s="362" t="s">
        <v>260</v>
      </c>
      <c r="C46" s="106"/>
      <c r="D46" s="106"/>
      <c r="E46" s="106"/>
    </row>
    <row r="47" spans="2:5">
      <c r="B47" s="352" t="s">
        <v>182</v>
      </c>
      <c r="C47" s="106"/>
      <c r="D47" s="345"/>
      <c r="E47" s="345"/>
    </row>
    <row r="48" spans="2:5">
      <c r="B48" s="352" t="s">
        <v>668</v>
      </c>
      <c r="C48" s="548" t="str">
        <f>IF(C49*0.1&lt;C47,"Exceed 10% Rule","")</f>
        <v/>
      </c>
      <c r="D48" s="353" t="str">
        <f>IF(D49*0.1&lt;D47,"Exceed 10% Rule","")</f>
        <v/>
      </c>
      <c r="E48" s="353" t="str">
        <f>IF(E49*0.1&lt;E47,"Exceed 10% Rule","")</f>
        <v/>
      </c>
    </row>
    <row r="49" spans="2:5">
      <c r="B49" s="354" t="s">
        <v>288</v>
      </c>
      <c r="C49" s="356">
        <f>SUM(C41:C47)</f>
        <v>18144</v>
      </c>
      <c r="D49" s="356">
        <f>SUM(D41:D47)</f>
        <v>33000</v>
      </c>
      <c r="E49" s="356">
        <f>SUM(E41:E47)</f>
        <v>33000</v>
      </c>
    </row>
    <row r="50" spans="2:5">
      <c r="B50" s="354" t="s">
        <v>289</v>
      </c>
      <c r="C50" s="356">
        <f>C39+C49</f>
        <v>18144</v>
      </c>
      <c r="D50" s="356">
        <f>D39+D49</f>
        <v>33000</v>
      </c>
      <c r="E50" s="356">
        <f>E39+E49</f>
        <v>33000</v>
      </c>
    </row>
    <row r="51" spans="2:5">
      <c r="B51" s="167" t="s">
        <v>291</v>
      </c>
      <c r="C51" s="346"/>
      <c r="D51" s="346"/>
      <c r="E51" s="346"/>
    </row>
    <row r="52" spans="2:5">
      <c r="B52" s="348" t="s">
        <v>1071</v>
      </c>
      <c r="C52" s="106"/>
      <c r="D52" s="106"/>
      <c r="E52" s="106"/>
    </row>
    <row r="53" spans="2:5">
      <c r="B53" s="348" t="s">
        <v>1134</v>
      </c>
      <c r="C53" s="106">
        <v>18144</v>
      </c>
      <c r="D53" s="106">
        <v>33000</v>
      </c>
      <c r="E53" s="106">
        <v>33000</v>
      </c>
    </row>
    <row r="54" spans="2:5">
      <c r="B54" s="348"/>
      <c r="C54" s="106"/>
      <c r="D54" s="106"/>
      <c r="E54" s="106"/>
    </row>
    <row r="55" spans="2:5">
      <c r="B55" s="348"/>
      <c r="C55" s="106"/>
      <c r="D55" s="106"/>
      <c r="E55" s="106"/>
    </row>
    <row r="56" spans="2:5">
      <c r="B56" s="348"/>
      <c r="C56" s="106"/>
      <c r="D56" s="106"/>
      <c r="E56" s="106"/>
    </row>
    <row r="57" spans="2:5">
      <c r="B57" s="348"/>
      <c r="C57" s="106"/>
      <c r="D57" s="106"/>
      <c r="E57" s="106"/>
    </row>
    <row r="58" spans="2:5">
      <c r="B58" s="348"/>
      <c r="C58" s="106"/>
      <c r="D58" s="106"/>
      <c r="E58" s="106"/>
    </row>
    <row r="59" spans="2:5">
      <c r="B59" s="348"/>
      <c r="C59" s="106"/>
      <c r="D59" s="106"/>
      <c r="E59" s="106"/>
    </row>
    <row r="60" spans="2:5">
      <c r="B60" s="348"/>
      <c r="C60" s="106"/>
      <c r="D60" s="106"/>
      <c r="E60" s="106"/>
    </row>
    <row r="61" spans="2:5">
      <c r="B61" s="352" t="s">
        <v>182</v>
      </c>
      <c r="C61" s="106"/>
      <c r="D61" s="345"/>
      <c r="E61" s="345"/>
    </row>
    <row r="62" spans="2:5">
      <c r="B62" s="352" t="s">
        <v>667</v>
      </c>
      <c r="C62" s="548" t="str">
        <f>IF(C63*0.1&lt;C61,"Exceed 10% Rule","")</f>
        <v/>
      </c>
      <c r="D62" s="353" t="str">
        <f>IF(D63*0.1&lt;D61,"Exceed 10% Rule","")</f>
        <v/>
      </c>
      <c r="E62" s="353" t="str">
        <f>IF(E63*0.1&lt;E61,"Exceed 10% Rule","")</f>
        <v/>
      </c>
    </row>
    <row r="63" spans="2:5">
      <c r="B63" s="354" t="s">
        <v>295</v>
      </c>
      <c r="C63" s="356">
        <f>SUM(C52:C61)</f>
        <v>18144</v>
      </c>
      <c r="D63" s="356">
        <f>SUM(D52:D61)</f>
        <v>33000</v>
      </c>
      <c r="E63" s="356">
        <f>SUM(E52:E61)</f>
        <v>33000</v>
      </c>
    </row>
    <row r="64" spans="2:5">
      <c r="B64" s="167" t="s">
        <v>58</v>
      </c>
      <c r="C64" s="119">
        <f>C50-C63</f>
        <v>0</v>
      </c>
      <c r="D64" s="119">
        <f>D50-D63</f>
        <v>0</v>
      </c>
      <c r="E64" s="119"/>
    </row>
    <row r="65" spans="2:5">
      <c r="B65" s="797" t="str">
        <f>CONCATENATE("",E1-2,"/",E1-1," Budget Authority Amount:")</f>
        <v>2012/2013 Budget Authority Amount:</v>
      </c>
      <c r="C65" s="303">
        <f>inputOth!B99</f>
        <v>60000</v>
      </c>
      <c r="D65" s="303">
        <f>inputPrYr!D52</f>
        <v>33000</v>
      </c>
      <c r="E65" s="547" t="str">
        <f>IF(E64&lt;0,"See Tab E","")</f>
        <v/>
      </c>
    </row>
    <row r="66" spans="2:5">
      <c r="B66" s="797"/>
      <c r="C66" s="358" t="str">
        <f>IF(C63&gt;C65,"See Tab A","")</f>
        <v/>
      </c>
      <c r="D66" s="358" t="str">
        <f>IF(D63&gt;D65,"See Tab C","")</f>
        <v/>
      </c>
      <c r="E66" s="84"/>
    </row>
    <row r="67" spans="2:5">
      <c r="B67" s="797"/>
      <c r="C67" s="358" t="str">
        <f>IF(C64&lt;0,"See Tab B","")</f>
        <v/>
      </c>
      <c r="D67" s="358" t="str">
        <f>IF(D64&lt;0,"See Tab D","")</f>
        <v/>
      </c>
      <c r="E67" s="84"/>
    </row>
    <row r="68" spans="2:5">
      <c r="B68" s="84"/>
      <c r="C68" s="84"/>
      <c r="D68" s="84"/>
      <c r="E68" s="84"/>
    </row>
    <row r="69" spans="2:5">
      <c r="B69" s="797" t="s">
        <v>298</v>
      </c>
      <c r="C69" s="297">
        <v>22</v>
      </c>
      <c r="D69" s="84"/>
      <c r="E69" s="84"/>
    </row>
  </sheetData>
  <conditionalFormatting sqref="C47">
    <cfRule type="cellIs" dxfId="60" priority="19" stopIfTrue="1" operator="greaterThan">
      <formula>$C$49*0.1</formula>
    </cfRule>
  </conditionalFormatting>
  <conditionalFormatting sqref="D47">
    <cfRule type="cellIs" dxfId="59" priority="18" stopIfTrue="1" operator="greaterThan">
      <formula>$D$49*0.1</formula>
    </cfRule>
  </conditionalFormatting>
  <conditionalFormatting sqref="E47">
    <cfRule type="cellIs" dxfId="58" priority="17" stopIfTrue="1" operator="greaterThan">
      <formula>$E$49*0.1</formula>
    </cfRule>
  </conditionalFormatting>
  <conditionalFormatting sqref="C61">
    <cfRule type="cellIs" dxfId="57" priority="16" stopIfTrue="1" operator="greaterThan">
      <formula>$C$63*0.1</formula>
    </cfRule>
  </conditionalFormatting>
  <conditionalFormatting sqref="D61">
    <cfRule type="cellIs" dxfId="56" priority="15" stopIfTrue="1" operator="greaterThan">
      <formula>$D$63*0.1</formula>
    </cfRule>
  </conditionalFormatting>
  <conditionalFormatting sqref="E61">
    <cfRule type="cellIs" dxfId="55" priority="14" stopIfTrue="1" operator="greaterThan">
      <formula>$E$63*0.1</formula>
    </cfRule>
  </conditionalFormatting>
  <conditionalFormatting sqref="C28">
    <cfRule type="cellIs" dxfId="54" priority="13" stopIfTrue="1" operator="greaterThan">
      <formula>$C$30*0.1</formula>
    </cfRule>
  </conditionalFormatting>
  <conditionalFormatting sqref="D28">
    <cfRule type="cellIs" dxfId="53" priority="12" stopIfTrue="1" operator="greaterThan">
      <formula>$D$30*0.1</formula>
    </cfRule>
  </conditionalFormatting>
  <conditionalFormatting sqref="E28">
    <cfRule type="cellIs" dxfId="52" priority="11" stopIfTrue="1" operator="greaterThan">
      <formula>$E$30*0.1</formula>
    </cfRule>
  </conditionalFormatting>
  <conditionalFormatting sqref="C14">
    <cfRule type="cellIs" dxfId="51" priority="10" stopIfTrue="1" operator="greaterThan">
      <formula>$C$16*0.1</formula>
    </cfRule>
  </conditionalFormatting>
  <conditionalFormatting sqref="D14">
    <cfRule type="cellIs" dxfId="50" priority="9" stopIfTrue="1" operator="greaterThan">
      <formula>$D$16*0.1</formula>
    </cfRule>
  </conditionalFormatting>
  <conditionalFormatting sqref="E14">
    <cfRule type="cellIs" dxfId="49" priority="8" stopIfTrue="1" operator="greaterThan">
      <formula>$E$16*0.1</formula>
    </cfRule>
  </conditionalFormatting>
  <conditionalFormatting sqref="E31 C31 E64 C64">
    <cfRule type="cellIs" dxfId="48" priority="7" stopIfTrue="1" operator="lessThan">
      <formula>0</formula>
    </cfRule>
  </conditionalFormatting>
  <conditionalFormatting sqref="C30">
    <cfRule type="cellIs" dxfId="47" priority="6" stopIfTrue="1" operator="greaterThan">
      <formula>$C$32</formula>
    </cfRule>
  </conditionalFormatting>
  <conditionalFormatting sqref="D30">
    <cfRule type="cellIs" dxfId="46" priority="5" stopIfTrue="1" operator="greaterThan">
      <formula>$D$32</formula>
    </cfRule>
  </conditionalFormatting>
  <conditionalFormatting sqref="C63">
    <cfRule type="cellIs" dxfId="45" priority="4" stopIfTrue="1" operator="greaterThan">
      <formula>$C$65</formula>
    </cfRule>
  </conditionalFormatting>
  <conditionalFormatting sqref="D63">
    <cfRule type="cellIs" dxfId="44" priority="3" stopIfTrue="1" operator="greaterThan">
      <formula>$D$65</formula>
    </cfRule>
  </conditionalFormatting>
  <conditionalFormatting sqref="D64">
    <cfRule type="cellIs" dxfId="43" priority="2" stopIfTrue="1" operator="lessThan">
      <formula>0</formula>
    </cfRule>
  </conditionalFormatting>
  <conditionalFormatting sqref="D31">
    <cfRule type="cellIs" dxfId="42" priority="1" stopIfTrue="1" operator="lessThan">
      <formula>0</formula>
    </cfRule>
  </conditionalFormatting>
  <pageMargins left="0.7" right="0.7" top="0.75" bottom="0.75" header="0.3" footer="0.3"/>
</worksheet>
</file>

<file path=xl/worksheets/sheet29.xml><?xml version="1.0" encoding="utf-8"?>
<worksheet xmlns="http://schemas.openxmlformats.org/spreadsheetml/2006/main" xmlns:r="http://schemas.openxmlformats.org/officeDocument/2006/relationships">
  <sheetPr>
    <pageSetUpPr fitToPage="1"/>
  </sheetPr>
  <dimension ref="B1:E59"/>
  <sheetViews>
    <sheetView topLeftCell="A38" workbookViewId="0">
      <selection activeCell="B25" sqref="B25"/>
    </sheetView>
  </sheetViews>
  <sheetFormatPr defaultColWidth="8.88671875" defaultRowHeight="15"/>
  <cols>
    <col min="1" max="1" width="2.44140625" style="144" customWidth="1"/>
    <col min="2" max="2" width="31.109375" style="144" customWidth="1"/>
    <col min="3" max="4" width="15.77734375" style="144" customWidth="1"/>
    <col min="5" max="5" width="16.21875" style="144" customWidth="1"/>
    <col min="6" max="16384" width="8.88671875" style="144"/>
  </cols>
  <sheetData>
    <row r="1" spans="2:5" ht="15.75">
      <c r="B1" s="253" t="str">
        <f>(inputPrYr!D3)</f>
        <v>City of Bonner Springs</v>
      </c>
      <c r="C1" s="84"/>
      <c r="D1" s="84"/>
      <c r="E1" s="341">
        <f>inputPrYr!$C$10</f>
        <v>2014</v>
      </c>
    </row>
    <row r="2" spans="2:5" ht="15.75">
      <c r="B2" s="84"/>
      <c r="C2" s="84"/>
      <c r="D2" s="84"/>
      <c r="E2" s="228"/>
    </row>
    <row r="3" spans="2:5" ht="15.75">
      <c r="B3" s="342" t="s">
        <v>7</v>
      </c>
      <c r="C3" s="343"/>
      <c r="D3" s="343"/>
      <c r="E3" s="344"/>
    </row>
    <row r="4" spans="2:5" ht="15.75">
      <c r="B4" s="91" t="s">
        <v>282</v>
      </c>
      <c r="C4" s="614" t="s">
        <v>806</v>
      </c>
      <c r="D4" s="615" t="s">
        <v>807</v>
      </c>
      <c r="E4" s="204" t="s">
        <v>808</v>
      </c>
    </row>
    <row r="5" spans="2:5" ht="15.75">
      <c r="B5" s="561" t="str">
        <f>(inputPrYr!B53)</f>
        <v>Enterprise Fund - Solid Waste</v>
      </c>
      <c r="C5" s="440" t="str">
        <f>CONCATENATE("Actual for ",E1-2,"")</f>
        <v>Actual for 2012</v>
      </c>
      <c r="D5" s="440" t="str">
        <f>CONCATENATE("Estimate for ",E1-1,"")</f>
        <v>Estimate for 2013</v>
      </c>
      <c r="E5" s="268" t="str">
        <f>CONCATENATE("Year for ",E1,"")</f>
        <v>Year for 2014</v>
      </c>
    </row>
    <row r="6" spans="2:5" ht="15.75">
      <c r="B6" s="167" t="s">
        <v>57</v>
      </c>
      <c r="C6" s="106">
        <v>124577</v>
      </c>
      <c r="D6" s="346">
        <f>C27</f>
        <v>102546</v>
      </c>
      <c r="E6" s="346">
        <f>D27</f>
        <v>95957</v>
      </c>
    </row>
    <row r="7" spans="2:5" ht="15.75">
      <c r="B7" s="347" t="s">
        <v>59</v>
      </c>
      <c r="C7" s="124"/>
      <c r="D7" s="124"/>
      <c r="E7" s="124"/>
    </row>
    <row r="8" spans="2:5" ht="15.75">
      <c r="B8" s="348" t="s">
        <v>1173</v>
      </c>
      <c r="C8" s="106">
        <v>326003</v>
      </c>
      <c r="D8" s="106">
        <v>326845</v>
      </c>
      <c r="E8" s="106">
        <v>370064</v>
      </c>
    </row>
    <row r="9" spans="2:5" ht="15.75">
      <c r="B9" s="348" t="s">
        <v>1174</v>
      </c>
      <c r="C9" s="106">
        <v>4197</v>
      </c>
      <c r="D9" s="106">
        <v>4000</v>
      </c>
      <c r="E9" s="106">
        <v>4200</v>
      </c>
    </row>
    <row r="10" spans="2:5" ht="15.75">
      <c r="B10" s="350" t="s">
        <v>1111</v>
      </c>
      <c r="C10" s="115">
        <v>225</v>
      </c>
      <c r="D10" s="115">
        <v>0</v>
      </c>
      <c r="E10" s="115">
        <v>0</v>
      </c>
    </row>
    <row r="11" spans="2:5" ht="15.75">
      <c r="B11" s="348" t="s">
        <v>1175</v>
      </c>
      <c r="C11" s="106">
        <v>280</v>
      </c>
      <c r="D11" s="106">
        <v>300</v>
      </c>
      <c r="E11" s="106">
        <v>300</v>
      </c>
    </row>
    <row r="12" spans="2:5" ht="15.75">
      <c r="B12" s="351" t="s">
        <v>331</v>
      </c>
      <c r="C12" s="106">
        <v>355</v>
      </c>
      <c r="D12" s="106">
        <v>450</v>
      </c>
      <c r="E12" s="106">
        <v>200</v>
      </c>
    </row>
    <row r="13" spans="2:5" ht="15.75">
      <c r="B13" s="352" t="s">
        <v>182</v>
      </c>
      <c r="C13" s="106"/>
      <c r="D13" s="345"/>
      <c r="E13" s="345"/>
    </row>
    <row r="14" spans="2:5" ht="15.75">
      <c r="B14" s="352" t="s">
        <v>668</v>
      </c>
      <c r="C14" s="548" t="str">
        <f>IF(C15*0.1&lt;C13,"Exceed 10% Rule","")</f>
        <v/>
      </c>
      <c r="D14" s="353" t="str">
        <f>IF(D15*0.1&lt;D13,"Exceed 10% Rule","")</f>
        <v/>
      </c>
      <c r="E14" s="353" t="str">
        <f>IF(E15*0.1&lt;E13,"Exceed 10% Rule","")</f>
        <v/>
      </c>
    </row>
    <row r="15" spans="2:5" ht="15.75">
      <c r="B15" s="354" t="s">
        <v>288</v>
      </c>
      <c r="C15" s="356">
        <f>SUM(C8:C13)</f>
        <v>331060</v>
      </c>
      <c r="D15" s="356">
        <f>SUM(D8:D13)</f>
        <v>331595</v>
      </c>
      <c r="E15" s="356">
        <f>SUM(E8:E13)</f>
        <v>374764</v>
      </c>
    </row>
    <row r="16" spans="2:5" ht="15.75">
      <c r="B16" s="354" t="s">
        <v>289</v>
      </c>
      <c r="C16" s="356">
        <f>C6+C15</f>
        <v>455637</v>
      </c>
      <c r="D16" s="356">
        <f>D6+D15</f>
        <v>434141</v>
      </c>
      <c r="E16" s="356">
        <f>E6+E15</f>
        <v>470721</v>
      </c>
    </row>
    <row r="17" spans="2:5" ht="15.75">
      <c r="B17" s="167" t="s">
        <v>291</v>
      </c>
      <c r="C17" s="124"/>
      <c r="D17" s="124"/>
      <c r="E17" s="124"/>
    </row>
    <row r="18" spans="2:5" ht="15.75">
      <c r="B18" s="348" t="s">
        <v>1071</v>
      </c>
      <c r="C18" s="106">
        <v>322591</v>
      </c>
      <c r="D18" s="106">
        <v>323684</v>
      </c>
      <c r="E18" s="106">
        <v>365610</v>
      </c>
    </row>
    <row r="19" spans="2:5" ht="15.75">
      <c r="B19" s="348" t="s">
        <v>1176</v>
      </c>
      <c r="C19" s="106">
        <v>0</v>
      </c>
      <c r="D19" s="106">
        <v>4000</v>
      </c>
      <c r="E19" s="106">
        <v>4000</v>
      </c>
    </row>
    <row r="20" spans="2:5" ht="15.75">
      <c r="B20" s="348" t="s">
        <v>1125</v>
      </c>
      <c r="C20" s="115">
        <v>30500</v>
      </c>
      <c r="D20" s="115">
        <v>10500</v>
      </c>
      <c r="E20" s="115">
        <v>10500</v>
      </c>
    </row>
    <row r="21" spans="2:5" ht="15.75">
      <c r="B21" s="348"/>
      <c r="C21" s="106"/>
      <c r="D21" s="106"/>
      <c r="E21" s="106"/>
    </row>
    <row r="22" spans="2:5" ht="15.75">
      <c r="B22" s="348"/>
      <c r="C22" s="106"/>
      <c r="D22" s="106"/>
      <c r="E22" s="106"/>
    </row>
    <row r="23" spans="2:5" ht="15.75">
      <c r="B23" s="348"/>
      <c r="C23" s="106"/>
      <c r="D23" s="106"/>
      <c r="E23" s="106"/>
    </row>
    <row r="24" spans="2:5" ht="15.75">
      <c r="B24" s="352" t="s">
        <v>182</v>
      </c>
      <c r="C24" s="106"/>
      <c r="D24" s="345"/>
      <c r="E24" s="345"/>
    </row>
    <row r="25" spans="2:5" ht="15.75">
      <c r="B25" s="352" t="s">
        <v>667</v>
      </c>
      <c r="C25" s="548" t="str">
        <f>IF(C26*0.1&lt;C24,"Exceed 10% Rule","")</f>
        <v/>
      </c>
      <c r="D25" s="353" t="str">
        <f>IF(D26*0.1&lt;D24,"Exceed 10% Rule","")</f>
        <v/>
      </c>
      <c r="E25" s="353" t="str">
        <f>IF(E26*0.1&lt;E24,"Exceed 10% Rule","")</f>
        <v/>
      </c>
    </row>
    <row r="26" spans="2:5" ht="15.75">
      <c r="B26" s="354" t="s">
        <v>295</v>
      </c>
      <c r="C26" s="356">
        <f>SUM(C18:C24)</f>
        <v>353091</v>
      </c>
      <c r="D26" s="356">
        <f>SUM(D18:D24)</f>
        <v>338184</v>
      </c>
      <c r="E26" s="356">
        <f>SUM(E18:E24)</f>
        <v>380110</v>
      </c>
    </row>
    <row r="27" spans="2:5" ht="15.75">
      <c r="B27" s="167" t="s">
        <v>58</v>
      </c>
      <c r="C27" s="119">
        <f>C16-C26</f>
        <v>102546</v>
      </c>
      <c r="D27" s="119">
        <f>D16-D26</f>
        <v>95957</v>
      </c>
      <c r="E27" s="119">
        <f>E16-E26</f>
        <v>90611</v>
      </c>
    </row>
    <row r="28" spans="2:5" ht="15.75">
      <c r="B28" s="197" t="str">
        <f>CONCATENATE("",E1-2,"/",E1-1," Budget Authority Amount:")</f>
        <v>2012/2013 Budget Authority Amount:</v>
      </c>
      <c r="C28" s="303">
        <f>inputOth!B100</f>
        <v>361964</v>
      </c>
      <c r="D28" s="303">
        <f>inputPrYr!D53</f>
        <v>338184</v>
      </c>
      <c r="E28" s="547" t="str">
        <f>IF(E27&lt;0,"See Tab E","")</f>
        <v/>
      </c>
    </row>
    <row r="29" spans="2:5" ht="15.75">
      <c r="B29" s="197"/>
      <c r="C29" s="358" t="str">
        <f>IF(C26&gt;C28,"See Tab A","")</f>
        <v/>
      </c>
      <c r="D29" s="358" t="str">
        <f>IF(D26&gt;D28,"See Tab C","")</f>
        <v/>
      </c>
      <c r="E29" s="107"/>
    </row>
    <row r="30" spans="2:5" s="795" customFormat="1" ht="15.75">
      <c r="B30" s="84"/>
      <c r="C30" s="84"/>
      <c r="D30" s="84"/>
      <c r="E30" s="228"/>
    </row>
    <row r="31" spans="2:5" s="795" customFormat="1" ht="15.75">
      <c r="B31" s="342" t="s">
        <v>7</v>
      </c>
      <c r="C31" s="343"/>
      <c r="D31" s="343"/>
      <c r="E31" s="344"/>
    </row>
    <row r="32" spans="2:5" s="795" customFormat="1" ht="15.75">
      <c r="B32" s="91" t="s">
        <v>282</v>
      </c>
      <c r="C32" s="614" t="s">
        <v>806</v>
      </c>
      <c r="D32" s="615" t="s">
        <v>807</v>
      </c>
      <c r="E32" s="204" t="s">
        <v>808</v>
      </c>
    </row>
    <row r="33" spans="2:5" s="795" customFormat="1" ht="15.75">
      <c r="B33" s="561" t="str">
        <f>(inputPrYr!B54)</f>
        <v>Enterprise Fund - Storm Water</v>
      </c>
      <c r="C33" s="440" t="s">
        <v>1052</v>
      </c>
      <c r="D33" s="440" t="s">
        <v>1053</v>
      </c>
      <c r="E33" s="268" t="s">
        <v>1054</v>
      </c>
    </row>
    <row r="34" spans="2:5" s="795" customFormat="1" ht="15.75">
      <c r="B34" s="167" t="s">
        <v>57</v>
      </c>
      <c r="C34" s="106">
        <v>151544</v>
      </c>
      <c r="D34" s="346">
        <f>C56</f>
        <v>194193</v>
      </c>
      <c r="E34" s="346">
        <f>D56</f>
        <v>174800</v>
      </c>
    </row>
    <row r="35" spans="2:5" s="795" customFormat="1" ht="15.75">
      <c r="B35" s="347" t="s">
        <v>59</v>
      </c>
      <c r="C35" s="124"/>
      <c r="D35" s="124"/>
      <c r="E35" s="124"/>
    </row>
    <row r="36" spans="2:5" s="795" customFormat="1" ht="15.75">
      <c r="B36" s="348" t="s">
        <v>1178</v>
      </c>
      <c r="C36" s="106">
        <v>89448</v>
      </c>
      <c r="D36" s="106">
        <v>89500</v>
      </c>
      <c r="E36" s="106">
        <v>89500</v>
      </c>
    </row>
    <row r="37" spans="2:5" s="795" customFormat="1" ht="15.75">
      <c r="B37" s="348" t="s">
        <v>1174</v>
      </c>
      <c r="C37" s="106">
        <v>1065</v>
      </c>
      <c r="D37" s="106">
        <v>1000</v>
      </c>
      <c r="E37" s="106">
        <v>1000</v>
      </c>
    </row>
    <row r="38" spans="2:5" s="795" customFormat="1" ht="15.75">
      <c r="B38" s="350" t="s">
        <v>1111</v>
      </c>
      <c r="C38" s="115">
        <v>71</v>
      </c>
      <c r="D38" s="115">
        <v>0</v>
      </c>
      <c r="E38" s="115">
        <v>0</v>
      </c>
    </row>
    <row r="39" spans="2:5" s="795" customFormat="1" ht="15.75">
      <c r="B39" s="348" t="s">
        <v>331</v>
      </c>
      <c r="C39" s="106">
        <v>447</v>
      </c>
      <c r="D39" s="106">
        <v>400</v>
      </c>
      <c r="E39" s="106">
        <v>380</v>
      </c>
    </row>
    <row r="40" spans="2:5" s="795" customFormat="1" ht="15.75">
      <c r="B40" s="351" t="s">
        <v>260</v>
      </c>
      <c r="C40" s="106"/>
      <c r="D40" s="106"/>
      <c r="E40" s="106"/>
    </row>
    <row r="41" spans="2:5" s="795" customFormat="1" ht="15.75">
      <c r="B41" s="352" t="s">
        <v>182</v>
      </c>
      <c r="C41" s="106"/>
      <c r="D41" s="345"/>
      <c r="E41" s="345"/>
    </row>
    <row r="42" spans="2:5" s="795" customFormat="1" ht="15.75">
      <c r="B42" s="352" t="s">
        <v>668</v>
      </c>
      <c r="C42" s="548" t="str">
        <f>IF(C43*0.1&lt;C41,"Exceed 10% Rule","")</f>
        <v/>
      </c>
      <c r="D42" s="353" t="str">
        <f>IF(D43*0.1&lt;D41,"Exceed 10% Rule","")</f>
        <v/>
      </c>
      <c r="E42" s="353" t="str">
        <f>IF(E43*0.1&lt;E41,"Exceed 10% Rule","")</f>
        <v/>
      </c>
    </row>
    <row r="43" spans="2:5" s="795" customFormat="1" ht="15.75">
      <c r="B43" s="354" t="s">
        <v>288</v>
      </c>
      <c r="C43" s="356">
        <f>SUM(C36:C41)</f>
        <v>91031</v>
      </c>
      <c r="D43" s="356">
        <f>SUM(D36:D41)</f>
        <v>90900</v>
      </c>
      <c r="E43" s="356">
        <f>SUM(E36:E41)</f>
        <v>90880</v>
      </c>
    </row>
    <row r="44" spans="2:5" s="795" customFormat="1" ht="15.75">
      <c r="B44" s="354" t="s">
        <v>289</v>
      </c>
      <c r="C44" s="356">
        <f>C34+C43</f>
        <v>242575</v>
      </c>
      <c r="D44" s="356">
        <f>D34+D43</f>
        <v>285093</v>
      </c>
      <c r="E44" s="356">
        <f>E34+E43</f>
        <v>265680</v>
      </c>
    </row>
    <row r="45" spans="2:5" s="795" customFormat="1" ht="15.75">
      <c r="B45" s="167" t="s">
        <v>291</v>
      </c>
      <c r="C45" s="124"/>
      <c r="D45" s="124"/>
      <c r="E45" s="124"/>
    </row>
    <row r="46" spans="2:5" s="795" customFormat="1" ht="15.75">
      <c r="B46" s="348" t="s">
        <v>1071</v>
      </c>
      <c r="C46" s="106">
        <v>28421</v>
      </c>
      <c r="D46" s="106">
        <v>82250</v>
      </c>
      <c r="E46" s="106">
        <v>147250</v>
      </c>
    </row>
    <row r="47" spans="2:5" s="795" customFormat="1" ht="15.75">
      <c r="B47" s="348" t="s">
        <v>1063</v>
      </c>
      <c r="C47" s="106">
        <v>0</v>
      </c>
      <c r="D47" s="106">
        <v>8300</v>
      </c>
      <c r="E47" s="106">
        <v>8300</v>
      </c>
    </row>
    <row r="48" spans="2:5" s="795" customFormat="1" ht="15.75">
      <c r="B48" s="348" t="s">
        <v>1126</v>
      </c>
      <c r="C48" s="115">
        <v>19961</v>
      </c>
      <c r="D48" s="115">
        <v>19743</v>
      </c>
      <c r="E48" s="115">
        <v>19828</v>
      </c>
    </row>
    <row r="49" spans="2:5" s="795" customFormat="1" ht="15.75">
      <c r="B49" s="348"/>
      <c r="C49" s="115"/>
      <c r="D49" s="115"/>
      <c r="E49" s="115"/>
    </row>
    <row r="50" spans="2:5" s="795" customFormat="1" ht="15.75">
      <c r="B50" s="348"/>
      <c r="C50" s="106"/>
      <c r="D50" s="106"/>
      <c r="E50" s="106"/>
    </row>
    <row r="51" spans="2:5" s="795" customFormat="1" ht="15.75">
      <c r="B51" s="348"/>
      <c r="C51" s="106"/>
      <c r="D51" s="106"/>
      <c r="E51" s="106"/>
    </row>
    <row r="52" spans="2:5" s="795" customFormat="1" ht="15.75">
      <c r="B52" s="348"/>
      <c r="C52" s="106"/>
      <c r="D52" s="106"/>
      <c r="E52" s="106"/>
    </row>
    <row r="53" spans="2:5" s="795" customFormat="1" ht="15.75">
      <c r="B53" s="352" t="s">
        <v>182</v>
      </c>
      <c r="C53" s="106"/>
      <c r="D53" s="345"/>
      <c r="E53" s="345"/>
    </row>
    <row r="54" spans="2:5" s="795" customFormat="1" ht="15.75">
      <c r="B54" s="352" t="s">
        <v>667</v>
      </c>
      <c r="C54" s="548" t="str">
        <f>IF(C55*0.1&lt;C53,"Exceed 10% Rule","")</f>
        <v/>
      </c>
      <c r="D54" s="353" t="str">
        <f>IF(D55*0.1&lt;D53,"Exceed 10% Rule","")</f>
        <v/>
      </c>
      <c r="E54" s="353" t="str">
        <f>IF(E55*0.1&lt;E53,"Exceed 10% Rule","")</f>
        <v/>
      </c>
    </row>
    <row r="55" spans="2:5" s="795" customFormat="1" ht="15.75">
      <c r="B55" s="354" t="s">
        <v>295</v>
      </c>
      <c r="C55" s="356">
        <f>SUM(C46:C53)</f>
        <v>48382</v>
      </c>
      <c r="D55" s="356">
        <f>SUM(D46:D53)</f>
        <v>110293</v>
      </c>
      <c r="E55" s="356">
        <f>SUM(E46:E53)</f>
        <v>175378</v>
      </c>
    </row>
    <row r="56" spans="2:5" s="795" customFormat="1" ht="15.75">
      <c r="B56" s="167" t="s">
        <v>58</v>
      </c>
      <c r="C56" s="119">
        <f>C44-C55</f>
        <v>194193</v>
      </c>
      <c r="D56" s="119">
        <f>D44-D55</f>
        <v>174800</v>
      </c>
      <c r="E56" s="119">
        <f>E44-E55</f>
        <v>90302</v>
      </c>
    </row>
    <row r="57" spans="2:5" s="795" customFormat="1" ht="15.75">
      <c r="B57" s="797" t="s">
        <v>1051</v>
      </c>
      <c r="C57" s="303">
        <f>inputOth!B101</f>
        <v>124976</v>
      </c>
      <c r="D57" s="303">
        <f>inputPrYr!D54</f>
        <v>110293</v>
      </c>
      <c r="E57" s="547" t="str">
        <f>IF(E56&lt;0,"See Tab E","")</f>
        <v/>
      </c>
    </row>
    <row r="58" spans="2:5">
      <c r="B58" s="107"/>
      <c r="C58" s="107"/>
      <c r="D58" s="107"/>
      <c r="E58" s="107"/>
    </row>
    <row r="59" spans="2:5" ht="15.75">
      <c r="B59" s="197" t="s">
        <v>298</v>
      </c>
      <c r="C59" s="297">
        <v>23</v>
      </c>
      <c r="D59" s="107"/>
      <c r="E59" s="107"/>
    </row>
  </sheetData>
  <phoneticPr fontId="9" type="noConversion"/>
  <conditionalFormatting sqref="C13">
    <cfRule type="cellIs" dxfId="41" priority="14" stopIfTrue="1" operator="greaterThan">
      <formula>$C$15*0.1</formula>
    </cfRule>
  </conditionalFormatting>
  <conditionalFormatting sqref="D13">
    <cfRule type="cellIs" dxfId="40" priority="15" stopIfTrue="1" operator="greaterThan">
      <formula>$D$15*0.1</formula>
    </cfRule>
  </conditionalFormatting>
  <conditionalFormatting sqref="E13">
    <cfRule type="cellIs" dxfId="39" priority="16" stopIfTrue="1" operator="greaterThan">
      <formula>$E$15*0.1</formula>
    </cfRule>
  </conditionalFormatting>
  <conditionalFormatting sqref="C24">
    <cfRule type="cellIs" dxfId="38" priority="17" stopIfTrue="1" operator="greaterThan">
      <formula>$C$26*0.1</formula>
    </cfRule>
  </conditionalFormatting>
  <conditionalFormatting sqref="D24">
    <cfRule type="cellIs" dxfId="37" priority="18" stopIfTrue="1" operator="greaterThan">
      <formula>$D$26*0.1</formula>
    </cfRule>
  </conditionalFormatting>
  <conditionalFormatting sqref="E24">
    <cfRule type="cellIs" dxfId="36" priority="19" stopIfTrue="1" operator="greaterThan">
      <formula>$E$26*0.1</formula>
    </cfRule>
  </conditionalFormatting>
  <conditionalFormatting sqref="E27 C27">
    <cfRule type="cellIs" dxfId="35" priority="20" stopIfTrue="1" operator="lessThan">
      <formula>0</formula>
    </cfRule>
  </conditionalFormatting>
  <conditionalFormatting sqref="C26">
    <cfRule type="cellIs" dxfId="34" priority="21" stopIfTrue="1" operator="greaterThan">
      <formula>$C$28</formula>
    </cfRule>
  </conditionalFormatting>
  <conditionalFormatting sqref="D26">
    <cfRule type="cellIs" dxfId="33" priority="22" stopIfTrue="1" operator="greaterThan">
      <formula>$D$28</formula>
    </cfRule>
  </conditionalFormatting>
  <conditionalFormatting sqref="D27">
    <cfRule type="cellIs" dxfId="32" priority="12" stopIfTrue="1" operator="lessThan">
      <formula>0</formula>
    </cfRule>
    <cfRule type="cellIs" dxfId="31" priority="13" stopIfTrue="1" operator="lessThan">
      <formula>0</formula>
    </cfRule>
  </conditionalFormatting>
  <conditionalFormatting sqref="D56">
    <cfRule type="cellIs" dxfId="30" priority="1" stopIfTrue="1" operator="lessThan">
      <formula>0</formula>
    </cfRule>
    <cfRule type="cellIs" dxfId="29" priority="2" stopIfTrue="1" operator="lessThan">
      <formula>0</formula>
    </cfRule>
  </conditionalFormatting>
  <conditionalFormatting sqref="C41">
    <cfRule type="cellIs" dxfId="28" priority="3" stopIfTrue="1" operator="greaterThan">
      <formula>$C$15*0.1</formula>
    </cfRule>
  </conditionalFormatting>
  <conditionalFormatting sqref="D41">
    <cfRule type="cellIs" dxfId="27" priority="4" stopIfTrue="1" operator="greaterThan">
      <formula>$D$15*0.1</formula>
    </cfRule>
  </conditionalFormatting>
  <conditionalFormatting sqref="E41">
    <cfRule type="cellIs" dxfId="26" priority="5" stopIfTrue="1" operator="greaterThan">
      <formula>$E$15*0.1</formula>
    </cfRule>
  </conditionalFormatting>
  <conditionalFormatting sqref="C53">
    <cfRule type="cellIs" dxfId="25" priority="6" stopIfTrue="1" operator="greaterThan">
      <formula>$C$26*0.1</formula>
    </cfRule>
  </conditionalFormatting>
  <conditionalFormatting sqref="D53">
    <cfRule type="cellIs" dxfId="24" priority="7" stopIfTrue="1" operator="greaterThan">
      <formula>$D$26*0.1</formula>
    </cfRule>
  </conditionalFormatting>
  <conditionalFormatting sqref="E53">
    <cfRule type="cellIs" dxfId="23" priority="8" stopIfTrue="1" operator="greaterThan">
      <formula>$E$26*0.1</formula>
    </cfRule>
  </conditionalFormatting>
  <conditionalFormatting sqref="E56 C56">
    <cfRule type="cellIs" dxfId="22" priority="9" stopIfTrue="1" operator="lessThan">
      <formula>0</formula>
    </cfRule>
  </conditionalFormatting>
  <conditionalFormatting sqref="C55">
    <cfRule type="cellIs" dxfId="21" priority="10" stopIfTrue="1" operator="greaterThan">
      <formula>$C$28</formula>
    </cfRule>
  </conditionalFormatting>
  <conditionalFormatting sqref="D55">
    <cfRule type="cellIs" dxfId="20" priority="11" stopIfTrue="1" operator="greaterThan">
      <formula>$D$28</formula>
    </cfRule>
  </conditionalFormatting>
  <pageMargins left="0.75" right="0.75" top="1" bottom="1" header="0.5" footer="0.5"/>
  <pageSetup scale="77" orientation="portrait" blackAndWhite="1" r:id="rId1"/>
  <headerFooter alignWithMargins="0">
    <oddHeader>&amp;RState of Kansas
City</oddHeader>
  </headerFooter>
</worksheet>
</file>

<file path=xl/worksheets/sheet30.xml><?xml version="1.0" encoding="utf-8"?>
<worksheet xmlns="http://schemas.openxmlformats.org/spreadsheetml/2006/main" xmlns:r="http://schemas.openxmlformats.org/officeDocument/2006/relationships">
  <sheetPr>
    <pageSetUpPr fitToPage="1"/>
  </sheetPr>
  <dimension ref="B1:E43"/>
  <sheetViews>
    <sheetView topLeftCell="A22" workbookViewId="0">
      <selection activeCell="B36" sqref="B36"/>
    </sheetView>
  </sheetViews>
  <sheetFormatPr defaultColWidth="8.88671875" defaultRowHeight="15"/>
  <cols>
    <col min="1" max="1" width="2.44140625" style="144" customWidth="1"/>
    <col min="2" max="2" width="31.88671875" style="144" customWidth="1"/>
    <col min="3" max="3" width="15" style="144" customWidth="1"/>
    <col min="4" max="4" width="15.77734375" style="144" customWidth="1"/>
    <col min="5" max="5" width="16.109375" style="144" customWidth="1"/>
    <col min="6" max="16384" width="8.88671875" style="144"/>
  </cols>
  <sheetData>
    <row r="1" spans="2:5" ht="15.75">
      <c r="B1" s="253" t="str">
        <f>(inputPrYr!D3)</f>
        <v>City of Bonner Springs</v>
      </c>
      <c r="C1" s="84"/>
      <c r="D1" s="84"/>
      <c r="E1" s="341">
        <f>inputPrYr!$C$10</f>
        <v>2014</v>
      </c>
    </row>
    <row r="2" spans="2:5" ht="15.75">
      <c r="B2" s="84"/>
      <c r="C2" s="84"/>
      <c r="D2" s="84"/>
      <c r="E2" s="228"/>
    </row>
    <row r="3" spans="2:5" ht="15.75">
      <c r="B3" s="342" t="s">
        <v>7</v>
      </c>
      <c r="C3" s="343"/>
      <c r="D3" s="343"/>
      <c r="E3" s="344"/>
    </row>
    <row r="4" spans="2:5" ht="15.75">
      <c r="B4" s="91" t="s">
        <v>282</v>
      </c>
      <c r="C4" s="614" t="s">
        <v>806</v>
      </c>
      <c r="D4" s="615" t="s">
        <v>807</v>
      </c>
      <c r="E4" s="204" t="s">
        <v>808</v>
      </c>
    </row>
    <row r="5" spans="2:5" ht="15.75">
      <c r="B5" s="561" t="str">
        <f>(inputPrYr!B55)</f>
        <v>Enterprise Fund - Waste Water</v>
      </c>
      <c r="C5" s="440" t="str">
        <f>CONCATENATE("Actual for ",E1-2,"")</f>
        <v>Actual for 2012</v>
      </c>
      <c r="D5" s="440" t="str">
        <f>CONCATENATE("Estimate for ",E1-1,"")</f>
        <v>Estimate for 2013</v>
      </c>
      <c r="E5" s="268" t="str">
        <f>CONCATENATE("Year for ",E1,"")</f>
        <v>Year for 2014</v>
      </c>
    </row>
    <row r="6" spans="2:5" ht="15.75">
      <c r="B6" s="167" t="s">
        <v>57</v>
      </c>
      <c r="C6" s="106">
        <v>896228</v>
      </c>
      <c r="D6" s="346">
        <f>C38</f>
        <v>875567</v>
      </c>
      <c r="E6" s="346">
        <f>D38</f>
        <v>823748</v>
      </c>
    </row>
    <row r="7" spans="2:5" ht="15.75">
      <c r="B7" s="347" t="s">
        <v>59</v>
      </c>
      <c r="C7" s="124"/>
      <c r="D7" s="124"/>
      <c r="E7" s="124"/>
    </row>
    <row r="8" spans="2:5" ht="15.75">
      <c r="B8" s="348" t="s">
        <v>1173</v>
      </c>
      <c r="C8" s="106">
        <v>1343331</v>
      </c>
      <c r="D8" s="106">
        <v>1340000</v>
      </c>
      <c r="E8" s="106">
        <v>1385000</v>
      </c>
    </row>
    <row r="9" spans="2:5" ht="15.75">
      <c r="B9" s="348" t="s">
        <v>1179</v>
      </c>
      <c r="C9" s="106">
        <v>52801</v>
      </c>
      <c r="D9" s="106">
        <v>36000</v>
      </c>
      <c r="E9" s="106">
        <v>36000</v>
      </c>
    </row>
    <row r="10" spans="2:5" ht="15.75">
      <c r="B10" s="348" t="s">
        <v>1180</v>
      </c>
      <c r="C10" s="106">
        <v>70580</v>
      </c>
      <c r="D10" s="106">
        <v>25000</v>
      </c>
      <c r="E10" s="106">
        <v>35000</v>
      </c>
    </row>
    <row r="11" spans="2:5" ht="15.75">
      <c r="B11" s="348" t="s">
        <v>1174</v>
      </c>
      <c r="C11" s="106">
        <v>13708</v>
      </c>
      <c r="D11" s="106">
        <v>13700</v>
      </c>
      <c r="E11" s="106">
        <v>13700</v>
      </c>
    </row>
    <row r="12" spans="2:5" ht="15.75">
      <c r="B12" s="348" t="s">
        <v>331</v>
      </c>
      <c r="C12" s="106">
        <v>2288</v>
      </c>
      <c r="D12" s="106">
        <v>1700</v>
      </c>
      <c r="E12" s="106">
        <v>1700</v>
      </c>
    </row>
    <row r="13" spans="2:5" ht="15.75">
      <c r="B13" s="348" t="s">
        <v>1181</v>
      </c>
      <c r="C13" s="106">
        <v>11888</v>
      </c>
      <c r="D13" s="106">
        <v>12500</v>
      </c>
      <c r="E13" s="106">
        <v>10000</v>
      </c>
    </row>
    <row r="14" spans="2:5" s="814" customFormat="1" ht="15.75">
      <c r="B14" s="348" t="s">
        <v>1156</v>
      </c>
      <c r="C14" s="106">
        <v>9252</v>
      </c>
      <c r="D14" s="106">
        <v>0</v>
      </c>
      <c r="E14" s="106">
        <v>0</v>
      </c>
    </row>
    <row r="15" spans="2:5" ht="15.75">
      <c r="B15" s="350" t="s">
        <v>1182</v>
      </c>
      <c r="C15" s="115">
        <v>1102</v>
      </c>
      <c r="D15" s="115">
        <v>0</v>
      </c>
      <c r="E15" s="115">
        <v>0</v>
      </c>
    </row>
    <row r="16" spans="2:5" ht="15.75">
      <c r="B16" s="348" t="s">
        <v>1138</v>
      </c>
      <c r="C16" s="106">
        <v>35</v>
      </c>
      <c r="D16" s="106">
        <v>0</v>
      </c>
      <c r="E16" s="106">
        <v>0</v>
      </c>
    </row>
    <row r="17" spans="2:5" ht="15.75">
      <c r="B17" s="352" t="s">
        <v>182</v>
      </c>
      <c r="C17" s="106"/>
      <c r="D17" s="345"/>
      <c r="E17" s="345"/>
    </row>
    <row r="18" spans="2:5" ht="15.75">
      <c r="B18" s="352" t="s">
        <v>668</v>
      </c>
      <c r="C18" s="548" t="str">
        <f>IF(C19*0.1&lt;C17,"Exceed 10% Rule","")</f>
        <v/>
      </c>
      <c r="D18" s="353" t="str">
        <f>IF(D19*0.1&lt;D17,"Exceed 10% Rule","")</f>
        <v/>
      </c>
      <c r="E18" s="353" t="str">
        <f>IF(E19*0.1&lt;E17,"Exceed 10% Rule","")</f>
        <v/>
      </c>
    </row>
    <row r="19" spans="2:5" ht="15.75">
      <c r="B19" s="354" t="s">
        <v>288</v>
      </c>
      <c r="C19" s="356">
        <f>SUM(C8:C17)</f>
        <v>1504985</v>
      </c>
      <c r="D19" s="356">
        <f>SUM(D8:D17)</f>
        <v>1428900</v>
      </c>
      <c r="E19" s="356">
        <f>SUM(E8:E17)</f>
        <v>1481400</v>
      </c>
    </row>
    <row r="20" spans="2:5" ht="15.75">
      <c r="B20" s="354" t="s">
        <v>289</v>
      </c>
      <c r="C20" s="356">
        <f>C6+C19</f>
        <v>2401213</v>
      </c>
      <c r="D20" s="356">
        <f>D6+D19</f>
        <v>2304467</v>
      </c>
      <c r="E20" s="356">
        <f>E6+E19</f>
        <v>2305148</v>
      </c>
    </row>
    <row r="21" spans="2:5" ht="15.75">
      <c r="B21" s="167" t="s">
        <v>291</v>
      </c>
      <c r="C21" s="124"/>
      <c r="D21" s="124"/>
      <c r="E21" s="124"/>
    </row>
    <row r="22" spans="2:5" ht="15.75">
      <c r="B22" s="348" t="s">
        <v>1062</v>
      </c>
      <c r="C22" s="106">
        <v>292695</v>
      </c>
      <c r="D22" s="106">
        <v>304115</v>
      </c>
      <c r="E22" s="106">
        <v>358188</v>
      </c>
    </row>
    <row r="23" spans="2:5" ht="15.75">
      <c r="B23" s="348" t="s">
        <v>1071</v>
      </c>
      <c r="C23" s="106">
        <v>360993</v>
      </c>
      <c r="D23" s="106">
        <v>375452</v>
      </c>
      <c r="E23" s="106">
        <v>390950</v>
      </c>
    </row>
    <row r="24" spans="2:5" ht="15.75">
      <c r="B24" s="348" t="s">
        <v>1063</v>
      </c>
      <c r="C24" s="115">
        <v>48877</v>
      </c>
      <c r="D24" s="115">
        <v>43600</v>
      </c>
      <c r="E24" s="115">
        <v>47600</v>
      </c>
    </row>
    <row r="25" spans="2:5" ht="15.75">
      <c r="B25" s="348" t="s">
        <v>1058</v>
      </c>
      <c r="C25" s="115">
        <v>250943</v>
      </c>
      <c r="D25" s="115">
        <v>187000</v>
      </c>
      <c r="E25" s="115">
        <v>262500</v>
      </c>
    </row>
    <row r="26" spans="2:5" ht="15.75">
      <c r="B26" s="348" t="s">
        <v>1126</v>
      </c>
      <c r="C26" s="115">
        <v>543123</v>
      </c>
      <c r="D26" s="115">
        <v>537319</v>
      </c>
      <c r="E26" s="115">
        <v>566169</v>
      </c>
    </row>
    <row r="27" spans="2:5" ht="15.75">
      <c r="B27" s="348" t="s">
        <v>1183</v>
      </c>
      <c r="C27" s="115">
        <v>0</v>
      </c>
      <c r="D27" s="115">
        <v>1200</v>
      </c>
      <c r="E27" s="115">
        <v>1200</v>
      </c>
    </row>
    <row r="28" spans="2:5" ht="15.75">
      <c r="B28" s="348" t="s">
        <v>1184</v>
      </c>
      <c r="C28" s="115">
        <v>29015</v>
      </c>
      <c r="D28" s="115">
        <v>32033</v>
      </c>
      <c r="E28" s="115">
        <v>32300</v>
      </c>
    </row>
    <row r="29" spans="2:5" ht="15.75">
      <c r="B29" s="348"/>
      <c r="C29" s="115"/>
      <c r="D29" s="115"/>
      <c r="E29" s="115"/>
    </row>
    <row r="30" spans="2:5" ht="15.75">
      <c r="B30" s="348"/>
      <c r="C30" s="106"/>
      <c r="D30" s="106"/>
      <c r="E30" s="106"/>
    </row>
    <row r="31" spans="2:5" ht="15.75">
      <c r="B31" s="348"/>
      <c r="C31" s="106"/>
      <c r="D31" s="106"/>
      <c r="E31" s="106"/>
    </row>
    <row r="32" spans="2:5" ht="15.75">
      <c r="B32" s="348"/>
      <c r="C32" s="106"/>
      <c r="D32" s="106"/>
      <c r="E32" s="106"/>
    </row>
    <row r="33" spans="2:5" ht="15.75">
      <c r="B33" s="348"/>
      <c r="C33" s="106"/>
      <c r="D33" s="106"/>
      <c r="E33" s="106"/>
    </row>
    <row r="34" spans="2:5" ht="15.75">
      <c r="B34" s="348"/>
      <c r="C34" s="106"/>
      <c r="D34" s="106"/>
      <c r="E34" s="106"/>
    </row>
    <row r="35" spans="2:5" ht="15.75">
      <c r="B35" s="352" t="s">
        <v>182</v>
      </c>
      <c r="C35" s="106"/>
      <c r="D35" s="345"/>
      <c r="E35" s="345"/>
    </row>
    <row r="36" spans="2:5" ht="15.75">
      <c r="B36" s="352" t="s">
        <v>667</v>
      </c>
      <c r="C36" s="548" t="str">
        <f>IF(C37*0.1&lt;C35,"Exceed 10% Rule","")</f>
        <v/>
      </c>
      <c r="D36" s="353" t="str">
        <f>IF(D37*0.1&lt;D35,"Exceed 10% Rule","")</f>
        <v/>
      </c>
      <c r="E36" s="353" t="str">
        <f>IF(E37*0.1&lt;E35,"Exceed 10% Rule","")</f>
        <v/>
      </c>
    </row>
    <row r="37" spans="2:5" ht="15.75">
      <c r="B37" s="354" t="s">
        <v>295</v>
      </c>
      <c r="C37" s="356">
        <f>SUM(C22:C35)</f>
        <v>1525646</v>
      </c>
      <c r="D37" s="356">
        <f>SUM(D22:D35)</f>
        <v>1480719</v>
      </c>
      <c r="E37" s="356">
        <f>SUM(E22:E35)</f>
        <v>1658907</v>
      </c>
    </row>
    <row r="38" spans="2:5" ht="15.75">
      <c r="B38" s="167" t="s">
        <v>58</v>
      </c>
      <c r="C38" s="119">
        <f>C20-C37</f>
        <v>875567</v>
      </c>
      <c r="D38" s="119">
        <f>D20-D37</f>
        <v>823748</v>
      </c>
      <c r="E38" s="119">
        <f>E20-E37</f>
        <v>646241</v>
      </c>
    </row>
    <row r="39" spans="2:5" ht="15.75">
      <c r="B39" s="197" t="str">
        <f>CONCATENATE("",E1-2,"/",E1-1," Budget Authority Amount:")</f>
        <v>2012/2013 Budget Authority Amount:</v>
      </c>
      <c r="C39" s="303">
        <f>inputOth!B102</f>
        <v>1575843</v>
      </c>
      <c r="D39" s="303">
        <f>inputPrYr!D55</f>
        <v>1481719</v>
      </c>
      <c r="E39" s="547" t="str">
        <f>IF(E38&lt;0,"See Tab E","")</f>
        <v/>
      </c>
    </row>
    <row r="40" spans="2:5" ht="15.75">
      <c r="B40" s="197"/>
      <c r="C40" s="358" t="str">
        <f>IF(C37&gt;C39,"See Tab A","")</f>
        <v/>
      </c>
      <c r="D40" s="358" t="str">
        <f>IF(D37&gt;D39,"See Tab C","")</f>
        <v/>
      </c>
      <c r="E40" s="107"/>
    </row>
    <row r="41" spans="2:5" ht="15.75">
      <c r="B41" s="197"/>
      <c r="C41" s="358" t="str">
        <f>IF(C38&lt;0,"See Tab B","")</f>
        <v/>
      </c>
      <c r="D41" s="358" t="str">
        <f>IF(D38&lt;0,"See Tab D","")</f>
        <v/>
      </c>
      <c r="E41" s="107"/>
    </row>
    <row r="42" spans="2:5">
      <c r="B42" s="107"/>
      <c r="C42" s="107"/>
      <c r="D42" s="107"/>
      <c r="E42" s="107"/>
    </row>
    <row r="43" spans="2:5" ht="15.75">
      <c r="B43" s="197" t="s">
        <v>298</v>
      </c>
      <c r="C43" s="297">
        <v>24</v>
      </c>
      <c r="D43" s="107"/>
      <c r="E43" s="107"/>
    </row>
  </sheetData>
  <phoneticPr fontId="9" type="noConversion"/>
  <conditionalFormatting sqref="C17">
    <cfRule type="cellIs" dxfId="19" priority="2" stopIfTrue="1" operator="greaterThan">
      <formula>$C$19*0.1</formula>
    </cfRule>
  </conditionalFormatting>
  <conditionalFormatting sqref="D17">
    <cfRule type="cellIs" dxfId="18" priority="3" stopIfTrue="1" operator="greaterThan">
      <formula>$D$19*0.1</formula>
    </cfRule>
  </conditionalFormatting>
  <conditionalFormatting sqref="E17">
    <cfRule type="cellIs" dxfId="17" priority="4" stopIfTrue="1" operator="greaterThan">
      <formula>$E$19*0.1</formula>
    </cfRule>
  </conditionalFormatting>
  <conditionalFormatting sqref="C35">
    <cfRule type="cellIs" dxfId="16" priority="5" stopIfTrue="1" operator="greaterThan">
      <formula>$C$37*0.1</formula>
    </cfRule>
  </conditionalFormatting>
  <conditionalFormatting sqref="D35">
    <cfRule type="cellIs" dxfId="15" priority="6" stopIfTrue="1" operator="greaterThan">
      <formula>$D$37*0.1</formula>
    </cfRule>
  </conditionalFormatting>
  <conditionalFormatting sqref="E35">
    <cfRule type="cellIs" dxfId="14" priority="7" stopIfTrue="1" operator="greaterThan">
      <formula>$E$37*0.1</formula>
    </cfRule>
  </conditionalFormatting>
  <conditionalFormatting sqref="E38 C38">
    <cfRule type="cellIs" dxfId="13" priority="8" stopIfTrue="1" operator="lessThan">
      <formula>0</formula>
    </cfRule>
  </conditionalFormatting>
  <conditionalFormatting sqref="C37">
    <cfRule type="cellIs" dxfId="12" priority="9" stopIfTrue="1" operator="greaterThan">
      <formula>$C$39</formula>
    </cfRule>
  </conditionalFormatting>
  <conditionalFormatting sqref="D37">
    <cfRule type="cellIs" dxfId="11" priority="10" stopIfTrue="1" operator="greaterThan">
      <formula>$D$39</formula>
    </cfRule>
  </conditionalFormatting>
  <conditionalFormatting sqref="D38">
    <cfRule type="cellIs" dxfId="10" priority="1" stopIfTrue="1" operator="lessThan">
      <formula>0</formula>
    </cfRule>
  </conditionalFormatting>
  <pageMargins left="0.75" right="0.75" top="1" bottom="1" header="0.5" footer="0.5"/>
  <pageSetup scale="77" orientation="portrait" blackAndWhite="1" r:id="rId1"/>
  <headerFooter alignWithMargins="0">
    <oddHeader>&amp;RState of Kansas
City</oddHeader>
  </headerFooter>
</worksheet>
</file>

<file path=xl/worksheets/sheet31.xml><?xml version="1.0" encoding="utf-8"?>
<worksheet xmlns="http://schemas.openxmlformats.org/spreadsheetml/2006/main" xmlns:r="http://schemas.openxmlformats.org/officeDocument/2006/relationships">
  <sheetPr>
    <pageSetUpPr fitToPage="1"/>
  </sheetPr>
  <dimension ref="B1:E41"/>
  <sheetViews>
    <sheetView topLeftCell="A20" workbookViewId="0">
      <selection activeCell="B34" sqref="B34"/>
    </sheetView>
  </sheetViews>
  <sheetFormatPr defaultRowHeight="15"/>
  <cols>
    <col min="1" max="1" width="2.44140625" customWidth="1"/>
    <col min="2" max="2" width="31.109375" customWidth="1"/>
    <col min="3" max="4" width="15.77734375" customWidth="1"/>
    <col min="5" max="5" width="16.21875" customWidth="1"/>
  </cols>
  <sheetData>
    <row r="1" spans="2:5" ht="15.75">
      <c r="B1" s="14" t="str">
        <f>(inputPrYr!D3)</f>
        <v>City of Bonner Springs</v>
      </c>
      <c r="C1" s="6"/>
      <c r="D1" s="6"/>
      <c r="E1" s="29">
        <f>inputPrYr!$C$10</f>
        <v>2014</v>
      </c>
    </row>
    <row r="2" spans="2:5" ht="15.75">
      <c r="B2" s="6"/>
      <c r="C2" s="6"/>
      <c r="D2" s="6"/>
      <c r="E2" s="8"/>
    </row>
    <row r="3" spans="2:5" ht="15.75">
      <c r="B3" s="27" t="s">
        <v>7</v>
      </c>
      <c r="C3" s="32"/>
      <c r="D3" s="32"/>
      <c r="E3" s="33"/>
    </row>
    <row r="4" spans="2:5" ht="15.75">
      <c r="B4" s="9" t="s">
        <v>282</v>
      </c>
      <c r="C4" s="614" t="s">
        <v>806</v>
      </c>
      <c r="D4" s="615" t="s">
        <v>807</v>
      </c>
      <c r="E4" s="204" t="s">
        <v>808</v>
      </c>
    </row>
    <row r="5" spans="2:5" ht="15.75">
      <c r="B5" s="576" t="str">
        <f>(inputPrYr!B56)</f>
        <v>Enterprise Fund - Water</v>
      </c>
      <c r="C5" s="440" t="str">
        <f>CONCATENATE("Actual for ",E1-2,"")</f>
        <v>Actual for 2012</v>
      </c>
      <c r="D5" s="440" t="str">
        <f>CONCATENATE("Estimate for ",E1-1,"")</f>
        <v>Estimate for 2013</v>
      </c>
      <c r="E5" s="268" t="str">
        <f>CONCATENATE("Year for ",E1,"")</f>
        <v>Year for 2014</v>
      </c>
    </row>
    <row r="6" spans="2:5" ht="15.75">
      <c r="B6" s="11" t="s">
        <v>57</v>
      </c>
      <c r="C6" s="538">
        <v>1419472</v>
      </c>
      <c r="D6" s="24">
        <f>C36</f>
        <v>1587491</v>
      </c>
      <c r="E6" s="24">
        <f>D36</f>
        <v>1614371</v>
      </c>
    </row>
    <row r="7" spans="2:5" ht="15.75">
      <c r="B7" s="60" t="s">
        <v>59</v>
      </c>
      <c r="C7" s="12"/>
      <c r="D7" s="12"/>
      <c r="E7" s="12"/>
    </row>
    <row r="8" spans="2:5" ht="15.75">
      <c r="B8" s="58" t="s">
        <v>1173</v>
      </c>
      <c r="C8" s="538">
        <v>1801662</v>
      </c>
      <c r="D8" s="538">
        <v>1680000</v>
      </c>
      <c r="E8" s="538">
        <v>1691200</v>
      </c>
    </row>
    <row r="9" spans="2:5" ht="15.75">
      <c r="B9" s="58" t="s">
        <v>1174</v>
      </c>
      <c r="C9" s="538">
        <v>15972</v>
      </c>
      <c r="D9" s="538">
        <v>15000</v>
      </c>
      <c r="E9" s="538">
        <v>15000</v>
      </c>
    </row>
    <row r="10" spans="2:5" ht="15.75">
      <c r="B10" s="58" t="s">
        <v>1185</v>
      </c>
      <c r="C10" s="538">
        <v>825</v>
      </c>
      <c r="D10" s="538">
        <v>500</v>
      </c>
      <c r="E10" s="538">
        <v>500</v>
      </c>
    </row>
    <row r="11" spans="2:5" ht="15.75">
      <c r="B11" s="58" t="s">
        <v>1186</v>
      </c>
      <c r="C11" s="538">
        <v>47750</v>
      </c>
      <c r="D11" s="538">
        <v>45000</v>
      </c>
      <c r="E11" s="538">
        <v>45000</v>
      </c>
    </row>
    <row r="12" spans="2:5" ht="15.75">
      <c r="B12" s="58" t="s">
        <v>1090</v>
      </c>
      <c r="C12" s="538">
        <v>60835</v>
      </c>
      <c r="D12" s="538">
        <v>30000</v>
      </c>
      <c r="E12" s="538">
        <v>40000</v>
      </c>
    </row>
    <row r="13" spans="2:5" ht="15.75">
      <c r="B13" s="58" t="s">
        <v>331</v>
      </c>
      <c r="C13" s="538">
        <v>4196</v>
      </c>
      <c r="D13" s="538">
        <v>3350</v>
      </c>
      <c r="E13" s="538">
        <v>3350</v>
      </c>
    </row>
    <row r="14" spans="2:5" ht="15.75">
      <c r="B14" s="59" t="s">
        <v>1156</v>
      </c>
      <c r="C14" s="539">
        <v>12459</v>
      </c>
      <c r="D14" s="539">
        <v>600</v>
      </c>
      <c r="E14" s="539">
        <v>0</v>
      </c>
    </row>
    <row r="15" spans="2:5" ht="15.75">
      <c r="B15" s="59" t="s">
        <v>1089</v>
      </c>
      <c r="C15" s="539">
        <v>0</v>
      </c>
      <c r="D15" s="539">
        <v>113000</v>
      </c>
      <c r="E15" s="539">
        <v>0</v>
      </c>
    </row>
    <row r="16" spans="2:5" ht="15.75">
      <c r="B16" s="58" t="s">
        <v>1182</v>
      </c>
      <c r="C16" s="538">
        <v>2</v>
      </c>
      <c r="D16" s="538">
        <v>31</v>
      </c>
      <c r="E16" s="538">
        <v>0</v>
      </c>
    </row>
    <row r="17" spans="2:5" ht="15.75">
      <c r="B17" s="62" t="s">
        <v>182</v>
      </c>
      <c r="C17" s="538"/>
      <c r="D17" s="61"/>
      <c r="E17" s="61"/>
    </row>
    <row r="18" spans="2:5" ht="15.75">
      <c r="B18" s="62" t="s">
        <v>668</v>
      </c>
      <c r="C18" s="549" t="str">
        <f>IF(C19*0.1&lt;C17,"Exceed 10% Rule","")</f>
        <v/>
      </c>
      <c r="D18" s="63" t="str">
        <f>IF(D19*0.1&lt;D17,"Exceed 10% Rule","")</f>
        <v/>
      </c>
      <c r="E18" s="63" t="str">
        <f>IF(E19*0.1&lt;E17,"Exceed 10% Rule","")</f>
        <v/>
      </c>
    </row>
    <row r="19" spans="2:5" ht="15.75">
      <c r="B19" s="30" t="s">
        <v>288</v>
      </c>
      <c r="C19" s="55">
        <f>SUM(C8:C17)</f>
        <v>1943701</v>
      </c>
      <c r="D19" s="55">
        <f>SUM(D8:D17)</f>
        <v>1887481</v>
      </c>
      <c r="E19" s="55">
        <f>SUM(E8:E17)</f>
        <v>1795050</v>
      </c>
    </row>
    <row r="20" spans="2:5" ht="15.75">
      <c r="B20" s="30" t="s">
        <v>289</v>
      </c>
      <c r="C20" s="55">
        <f>C6+C19</f>
        <v>3363173</v>
      </c>
      <c r="D20" s="55">
        <f>D6+D19</f>
        <v>3474972</v>
      </c>
      <c r="E20" s="55">
        <f>E6+E19</f>
        <v>3409421</v>
      </c>
    </row>
    <row r="21" spans="2:5" ht="15.75">
      <c r="B21" s="11" t="s">
        <v>291</v>
      </c>
      <c r="C21" s="12"/>
      <c r="D21" s="12"/>
      <c r="E21" s="12"/>
    </row>
    <row r="22" spans="2:5" ht="15.75">
      <c r="B22" s="58" t="s">
        <v>1062</v>
      </c>
      <c r="C22" s="538">
        <v>491950</v>
      </c>
      <c r="D22" s="538">
        <v>520042</v>
      </c>
      <c r="E22" s="538">
        <v>549792</v>
      </c>
    </row>
    <row r="23" spans="2:5" ht="15.75">
      <c r="B23" s="58" t="s">
        <v>1071</v>
      </c>
      <c r="C23" s="538">
        <v>486536</v>
      </c>
      <c r="D23" s="538">
        <v>296898</v>
      </c>
      <c r="E23" s="538">
        <v>298996</v>
      </c>
    </row>
    <row r="24" spans="2:5" ht="15.75">
      <c r="B24" s="58" t="s">
        <v>1063</v>
      </c>
      <c r="C24" s="539">
        <v>358351</v>
      </c>
      <c r="D24" s="539">
        <v>275000</v>
      </c>
      <c r="E24" s="539">
        <v>279400</v>
      </c>
    </row>
    <row r="25" spans="2:5" ht="15.75">
      <c r="B25" s="58" t="s">
        <v>1058</v>
      </c>
      <c r="C25" s="539">
        <v>32768</v>
      </c>
      <c r="D25" s="539">
        <v>359000</v>
      </c>
      <c r="E25" s="539">
        <v>710000</v>
      </c>
    </row>
    <row r="26" spans="2:5" ht="15.75">
      <c r="B26" s="58" t="s">
        <v>1126</v>
      </c>
      <c r="C26" s="539">
        <v>319032</v>
      </c>
      <c r="D26" s="539">
        <v>313001</v>
      </c>
      <c r="E26" s="539">
        <v>389407</v>
      </c>
    </row>
    <row r="27" spans="2:5" ht="15.75">
      <c r="B27" s="58" t="s">
        <v>1193</v>
      </c>
      <c r="C27" s="539">
        <v>0</v>
      </c>
      <c r="D27" s="539">
        <v>560</v>
      </c>
      <c r="E27" s="539">
        <v>560</v>
      </c>
    </row>
    <row r="28" spans="2:5" ht="15.75">
      <c r="B28" s="58" t="s">
        <v>1194</v>
      </c>
      <c r="C28" s="539">
        <v>87045</v>
      </c>
      <c r="D28" s="539">
        <v>96100</v>
      </c>
      <c r="E28" s="539">
        <v>96900</v>
      </c>
    </row>
    <row r="29" spans="2:5" ht="15.75">
      <c r="B29" s="58"/>
      <c r="C29" s="539"/>
      <c r="D29" s="539"/>
      <c r="E29" s="539"/>
    </row>
    <row r="30" spans="2:5" ht="15.75">
      <c r="B30" s="58"/>
      <c r="C30" s="538"/>
      <c r="D30" s="538"/>
      <c r="E30" s="538"/>
    </row>
    <row r="31" spans="2:5" ht="15.75">
      <c r="B31" s="58"/>
      <c r="C31" s="538"/>
      <c r="D31" s="538"/>
      <c r="E31" s="538"/>
    </row>
    <row r="32" spans="2:5" ht="15.75">
      <c r="B32" s="58"/>
      <c r="C32" s="538"/>
      <c r="D32" s="538"/>
      <c r="E32" s="538"/>
    </row>
    <row r="33" spans="2:5" ht="15.75">
      <c r="B33" s="62" t="s">
        <v>182</v>
      </c>
      <c r="C33" s="538"/>
      <c r="D33" s="61"/>
      <c r="E33" s="61"/>
    </row>
    <row r="34" spans="2:5" ht="15.75">
      <c r="B34" s="62" t="s">
        <v>667</v>
      </c>
      <c r="C34" s="549" t="str">
        <f>IF(C35*0.1&lt;C33,"Exceed 10% Rule","")</f>
        <v/>
      </c>
      <c r="D34" s="63" t="str">
        <f>IF(D35*0.1&lt;D33,"Exceed 10% Rule","")</f>
        <v/>
      </c>
      <c r="E34" s="63" t="str">
        <f>IF(E35*0.1&lt;E33,"Exceed 10% Rule","")</f>
        <v/>
      </c>
    </row>
    <row r="35" spans="2:5" ht="15.75">
      <c r="B35" s="30" t="s">
        <v>295</v>
      </c>
      <c r="C35" s="55">
        <f>SUM(C22:C33)</f>
        <v>1775682</v>
      </c>
      <c r="D35" s="55">
        <f>SUM(D22:D33)</f>
        <v>1860601</v>
      </c>
      <c r="E35" s="55">
        <f>SUM(E22:E33)</f>
        <v>2325055</v>
      </c>
    </row>
    <row r="36" spans="2:5" ht="15.75">
      <c r="B36" s="11" t="s">
        <v>58</v>
      </c>
      <c r="C36" s="54">
        <f>C20-C35</f>
        <v>1587491</v>
      </c>
      <c r="D36" s="54">
        <f>D20-D35</f>
        <v>1614371</v>
      </c>
      <c r="E36" s="54">
        <f>E20-E35</f>
        <v>1084366</v>
      </c>
    </row>
    <row r="37" spans="2:5" ht="15.75">
      <c r="B37" s="7" t="str">
        <f>CONCATENATE("",E1-2,"/",E1-1," Budget Authority Amount:")</f>
        <v>2012/2013 Budget Authority Amount:</v>
      </c>
      <c r="C37" s="37">
        <f>inputOth!B103</f>
        <v>1827409</v>
      </c>
      <c r="D37" s="37">
        <f>inputPrYr!D56</f>
        <v>1860601</v>
      </c>
      <c r="E37" s="547" t="str">
        <f>IF(E36&lt;0,"See Tab E","")</f>
        <v/>
      </c>
    </row>
    <row r="38" spans="2:5" ht="15.75">
      <c r="B38" s="7"/>
      <c r="C38" s="358" t="str">
        <f>IF(C35&gt;C37,"See Tab A","")</f>
        <v/>
      </c>
      <c r="D38" s="358" t="str">
        <f>IF(D35&gt;D37,"See Tab C","")</f>
        <v/>
      </c>
      <c r="E38" s="31"/>
    </row>
    <row r="39" spans="2:5" ht="15.75">
      <c r="B39" s="7"/>
      <c r="C39" s="358" t="str">
        <f>IF(C36&lt;0,"See Tab B","")</f>
        <v/>
      </c>
      <c r="D39" s="358" t="str">
        <f>IF(D36&lt;0,"See Tab D","")</f>
        <v/>
      </c>
      <c r="E39" s="31"/>
    </row>
    <row r="40" spans="2:5">
      <c r="B40" s="31"/>
      <c r="C40" s="31"/>
      <c r="D40" s="31"/>
      <c r="E40" s="31"/>
    </row>
    <row r="41" spans="2:5" ht="15.75">
      <c r="B41" s="197" t="s">
        <v>298</v>
      </c>
      <c r="C41" s="28">
        <v>25</v>
      </c>
      <c r="D41" s="31"/>
      <c r="E41" s="31"/>
    </row>
  </sheetData>
  <phoneticPr fontId="9" type="noConversion"/>
  <conditionalFormatting sqref="C17">
    <cfRule type="cellIs" dxfId="9" priority="2" stopIfTrue="1" operator="greaterThan">
      <formula>$C$19*0.1</formula>
    </cfRule>
  </conditionalFormatting>
  <conditionalFormatting sqref="D17">
    <cfRule type="cellIs" dxfId="8" priority="3" stopIfTrue="1" operator="greaterThan">
      <formula>$D$19*0.1</formula>
    </cfRule>
  </conditionalFormatting>
  <conditionalFormatting sqref="E17">
    <cfRule type="cellIs" dxfId="7" priority="4" stopIfTrue="1" operator="greaterThan">
      <formula>$E$19*0.1</formula>
    </cfRule>
  </conditionalFormatting>
  <conditionalFormatting sqref="C33">
    <cfRule type="cellIs" dxfId="6" priority="5" stopIfTrue="1" operator="greaterThan">
      <formula>$C$35*0.1</formula>
    </cfRule>
  </conditionalFormatting>
  <conditionalFormatting sqref="D33">
    <cfRule type="cellIs" dxfId="5" priority="6" stopIfTrue="1" operator="greaterThan">
      <formula>$D$35*0.1</formula>
    </cfRule>
  </conditionalFormatting>
  <conditionalFormatting sqref="E33">
    <cfRule type="cellIs" dxfId="4" priority="7" stopIfTrue="1" operator="greaterThan">
      <formula>$E$35*0.1</formula>
    </cfRule>
  </conditionalFormatting>
  <conditionalFormatting sqref="E36 C36">
    <cfRule type="cellIs" dxfId="3" priority="8" stopIfTrue="1" operator="lessThan">
      <formula>0</formula>
    </cfRule>
  </conditionalFormatting>
  <conditionalFormatting sqref="C35">
    <cfRule type="cellIs" dxfId="2" priority="9" stopIfTrue="1" operator="greaterThan">
      <formula>$C$37</formula>
    </cfRule>
  </conditionalFormatting>
  <conditionalFormatting sqref="D35">
    <cfRule type="cellIs" dxfId="1" priority="10" stopIfTrue="1" operator="greaterThan">
      <formula>$D$37</formula>
    </cfRule>
  </conditionalFormatting>
  <conditionalFormatting sqref="D36">
    <cfRule type="cellIs" dxfId="0" priority="1" stopIfTrue="1" operator="lessThan">
      <formula>0</formula>
    </cfRule>
  </conditionalFormatting>
  <pageMargins left="0.75" right="0.75" top="1" bottom="1" header="0.5" footer="0.5"/>
  <pageSetup scale="77" orientation="portrait" blackAndWhite="1" r:id="rId1"/>
  <headerFooter alignWithMargins="0">
    <oddHeader>&amp;RState of Kansas
City</oddHeader>
  </headerFooter>
</worksheet>
</file>

<file path=xl/worksheets/sheet32.xml><?xml version="1.0" encoding="utf-8"?>
<worksheet xmlns="http://schemas.openxmlformats.org/spreadsheetml/2006/main" xmlns:r="http://schemas.openxmlformats.org/officeDocument/2006/relationships">
  <sheetPr>
    <pageSetUpPr fitToPage="1"/>
  </sheetPr>
  <dimension ref="A1:L41"/>
  <sheetViews>
    <sheetView topLeftCell="A15" workbookViewId="0">
      <selection activeCell="E20" sqref="E20"/>
    </sheetView>
  </sheetViews>
  <sheetFormatPr defaultColWidth="8.88671875" defaultRowHeight="15.75"/>
  <cols>
    <col min="1" max="1" width="12.21875" style="68" customWidth="1"/>
    <col min="2" max="2" width="7.44140625" style="68" customWidth="1"/>
    <col min="3" max="3" width="11.5546875" style="68" customWidth="1"/>
    <col min="4" max="4" width="10.88671875" style="68" customWidth="1"/>
    <col min="5" max="5" width="11.5546875" style="68" customWidth="1"/>
    <col min="6" max="6" width="7.44140625" style="68" customWidth="1"/>
    <col min="7" max="7" width="11.5546875" style="68" customWidth="1"/>
    <col min="8" max="8" width="7.44140625" style="68" customWidth="1"/>
    <col min="9" max="9" width="10.88671875" style="68" customWidth="1"/>
    <col min="10" max="10" width="7.33203125" style="68" customWidth="1"/>
    <col min="11" max="16384" width="8.88671875" style="68"/>
  </cols>
  <sheetData>
    <row r="1" spans="1:11">
      <c r="A1" s="145" t="str">
        <f>inputPrYr!$D$3</f>
        <v>City of Bonner Springs</v>
      </c>
      <c r="B1" s="174"/>
      <c r="C1" s="146"/>
      <c r="D1" s="146"/>
      <c r="E1" s="146"/>
      <c r="F1" s="232" t="s">
        <v>81</v>
      </c>
      <c r="G1" s="146"/>
      <c r="H1" s="146"/>
      <c r="I1" s="146"/>
      <c r="J1" s="146"/>
      <c r="K1" s="146">
        <f>inputPrYr!$C$10</f>
        <v>2014</v>
      </c>
    </row>
    <row r="2" spans="1:11">
      <c r="A2" s="146"/>
      <c r="B2" s="146"/>
      <c r="C2" s="146"/>
      <c r="D2" s="146"/>
      <c r="E2" s="146"/>
      <c r="F2" s="316" t="str">
        <f>CONCATENATE("(Only the actual budget year for ",K1-2," is to be shown)")</f>
        <v>(Only the actual budget year for 2012 is to be shown)</v>
      </c>
      <c r="G2" s="146"/>
      <c r="H2" s="146"/>
      <c r="I2" s="146"/>
      <c r="J2" s="146"/>
      <c r="K2" s="146"/>
    </row>
    <row r="3" spans="1:11">
      <c r="A3" s="146" t="s">
        <v>115</v>
      </c>
      <c r="B3" s="146"/>
      <c r="C3" s="146"/>
      <c r="D3" s="146"/>
      <c r="E3" s="146"/>
      <c r="F3" s="174"/>
      <c r="G3" s="146"/>
      <c r="H3" s="146"/>
      <c r="I3" s="146"/>
      <c r="J3" s="146"/>
      <c r="K3" s="146"/>
    </row>
    <row r="4" spans="1:11">
      <c r="A4" s="146" t="s">
        <v>82</v>
      </c>
      <c r="B4" s="146"/>
      <c r="C4" s="146" t="s">
        <v>83</v>
      </c>
      <c r="D4" s="146"/>
      <c r="E4" s="146" t="s">
        <v>84</v>
      </c>
      <c r="F4" s="174"/>
      <c r="G4" s="146" t="s">
        <v>85</v>
      </c>
      <c r="H4" s="146"/>
      <c r="I4" s="146" t="s">
        <v>86</v>
      </c>
      <c r="J4" s="146"/>
      <c r="K4" s="146"/>
    </row>
    <row r="5" spans="1:11">
      <c r="A5" s="932" t="s">
        <v>1227</v>
      </c>
      <c r="B5" s="933"/>
      <c r="C5" s="932" t="s">
        <v>1232</v>
      </c>
      <c r="D5" s="933"/>
      <c r="E5" s="932" t="s">
        <v>1231</v>
      </c>
      <c r="F5" s="933"/>
      <c r="G5" s="930" t="str">
        <f>IF(inputPrYr!B69&gt;" ",(inputPrYr!B69)," ")</f>
        <v xml:space="preserve"> </v>
      </c>
      <c r="H5" s="931"/>
      <c r="I5" s="930" t="str">
        <f>IF(inputPrYr!B70&gt;" ",(inputPrYr!B70)," ")</f>
        <v xml:space="preserve"> </v>
      </c>
      <c r="J5" s="931"/>
      <c r="K5" s="182"/>
    </row>
    <row r="6" spans="1:11">
      <c r="A6" s="318" t="s">
        <v>87</v>
      </c>
      <c r="B6" s="319"/>
      <c r="C6" s="320" t="s">
        <v>87</v>
      </c>
      <c r="D6" s="321"/>
      <c r="E6" s="320" t="s">
        <v>87</v>
      </c>
      <c r="F6" s="317"/>
      <c r="G6" s="320" t="s">
        <v>87</v>
      </c>
      <c r="H6" s="322"/>
      <c r="I6" s="320" t="s">
        <v>87</v>
      </c>
      <c r="J6" s="146"/>
      <c r="K6" s="323" t="s">
        <v>259</v>
      </c>
    </row>
    <row r="7" spans="1:11">
      <c r="A7" s="324" t="s">
        <v>189</v>
      </c>
      <c r="B7" s="325">
        <v>343322</v>
      </c>
      <c r="C7" s="326" t="s">
        <v>189</v>
      </c>
      <c r="D7" s="325">
        <v>64913</v>
      </c>
      <c r="E7" s="326" t="s">
        <v>189</v>
      </c>
      <c r="F7" s="325">
        <v>584925</v>
      </c>
      <c r="G7" s="326" t="s">
        <v>189</v>
      </c>
      <c r="H7" s="325"/>
      <c r="I7" s="326" t="s">
        <v>189</v>
      </c>
      <c r="J7" s="325"/>
      <c r="K7" s="327">
        <f>SUM(B7+D7+F7+H7+J7)</f>
        <v>993160</v>
      </c>
    </row>
    <row r="8" spans="1:11">
      <c r="A8" s="328" t="s">
        <v>59</v>
      </c>
      <c r="B8" s="329"/>
      <c r="C8" s="328" t="s">
        <v>59</v>
      </c>
      <c r="D8" s="330"/>
      <c r="E8" s="328" t="s">
        <v>59</v>
      </c>
      <c r="F8" s="174"/>
      <c r="G8" s="328" t="s">
        <v>59</v>
      </c>
      <c r="H8" s="146"/>
      <c r="I8" s="328" t="s">
        <v>59</v>
      </c>
      <c r="J8" s="146"/>
      <c r="K8" s="174"/>
    </row>
    <row r="9" spans="1:11">
      <c r="A9" s="331" t="s">
        <v>331</v>
      </c>
      <c r="B9" s="325">
        <v>1128</v>
      </c>
      <c r="C9" s="331" t="s">
        <v>331</v>
      </c>
      <c r="D9" s="325">
        <v>119</v>
      </c>
      <c r="E9" s="331" t="s">
        <v>331</v>
      </c>
      <c r="F9" s="325">
        <v>1501</v>
      </c>
      <c r="G9" s="331"/>
      <c r="H9" s="325"/>
      <c r="I9" s="331"/>
      <c r="J9" s="325"/>
      <c r="K9" s="174"/>
    </row>
    <row r="10" spans="1:11">
      <c r="A10" s="331" t="s">
        <v>1172</v>
      </c>
      <c r="B10" s="325">
        <v>109254</v>
      </c>
      <c r="C10" s="331" t="s">
        <v>182</v>
      </c>
      <c r="D10" s="325">
        <v>422401</v>
      </c>
      <c r="E10" s="331" t="s">
        <v>1186</v>
      </c>
      <c r="F10" s="325">
        <v>35605</v>
      </c>
      <c r="G10" s="331"/>
      <c r="H10" s="325"/>
      <c r="I10" s="331"/>
      <c r="J10" s="325"/>
      <c r="K10" s="174"/>
    </row>
    <row r="11" spans="1:11">
      <c r="A11" s="331" t="s">
        <v>1233</v>
      </c>
      <c r="B11" s="325">
        <v>1746657</v>
      </c>
      <c r="C11" s="332" t="s">
        <v>1172</v>
      </c>
      <c r="D11" s="325">
        <v>500</v>
      </c>
      <c r="E11" s="333" t="s">
        <v>182</v>
      </c>
      <c r="F11" s="325">
        <v>122275</v>
      </c>
      <c r="G11" s="333"/>
      <c r="H11" s="325"/>
      <c r="I11" s="334"/>
      <c r="J11" s="325"/>
      <c r="K11" s="174"/>
    </row>
    <row r="12" spans="1:11">
      <c r="A12" s="331" t="s">
        <v>1234</v>
      </c>
      <c r="B12" s="325">
        <v>1081</v>
      </c>
      <c r="C12" s="331" t="s">
        <v>1234</v>
      </c>
      <c r="D12" s="325">
        <v>3573</v>
      </c>
      <c r="E12" s="335" t="s">
        <v>1234</v>
      </c>
      <c r="F12" s="325">
        <v>80</v>
      </c>
      <c r="G12" s="335"/>
      <c r="H12" s="325"/>
      <c r="I12" s="335"/>
      <c r="J12" s="325"/>
      <c r="K12" s="174"/>
    </row>
    <row r="13" spans="1:11">
      <c r="A13" s="336" t="s">
        <v>1130</v>
      </c>
      <c r="B13" s="325">
        <v>4000</v>
      </c>
      <c r="C13" s="337" t="s">
        <v>1253</v>
      </c>
      <c r="D13" s="325">
        <v>2000</v>
      </c>
      <c r="E13" s="337"/>
      <c r="F13" s="325"/>
      <c r="G13" s="337"/>
      <c r="H13" s="325"/>
      <c r="I13" s="334"/>
      <c r="J13" s="325"/>
      <c r="K13" s="174"/>
    </row>
    <row r="14" spans="1:11">
      <c r="A14" s="331" t="s">
        <v>1235</v>
      </c>
      <c r="B14" s="325">
        <v>43349</v>
      </c>
      <c r="C14" s="335" t="s">
        <v>1239</v>
      </c>
      <c r="D14" s="325"/>
      <c r="E14" s="335"/>
      <c r="F14" s="325"/>
      <c r="G14" s="335"/>
      <c r="H14" s="325"/>
      <c r="I14" s="335"/>
      <c r="J14" s="325"/>
      <c r="K14" s="174"/>
    </row>
    <row r="15" spans="1:11">
      <c r="A15" s="331" t="s">
        <v>1236</v>
      </c>
      <c r="B15" s="325">
        <v>45714</v>
      </c>
      <c r="C15" s="335"/>
      <c r="D15" s="325"/>
      <c r="E15" s="335"/>
      <c r="F15" s="325"/>
      <c r="G15" s="335"/>
      <c r="H15" s="325"/>
      <c r="I15" s="335"/>
      <c r="J15" s="325"/>
      <c r="K15" s="174"/>
    </row>
    <row r="16" spans="1:11">
      <c r="A16" s="331" t="s">
        <v>1237</v>
      </c>
      <c r="B16" s="325">
        <v>24783</v>
      </c>
      <c r="C16" s="331"/>
      <c r="D16" s="325"/>
      <c r="E16" s="331"/>
      <c r="F16" s="325"/>
      <c r="G16" s="335"/>
      <c r="H16" s="325"/>
      <c r="I16" s="331"/>
      <c r="J16" s="325"/>
      <c r="K16" s="174"/>
    </row>
    <row r="17" spans="1:12">
      <c r="A17" s="328" t="s">
        <v>288</v>
      </c>
      <c r="B17" s="327">
        <f>SUM(B9:B16)</f>
        <v>1975966</v>
      </c>
      <c r="C17" s="328" t="s">
        <v>288</v>
      </c>
      <c r="D17" s="327">
        <f>SUM(D9:D16)</f>
        <v>428593</v>
      </c>
      <c r="E17" s="328" t="s">
        <v>288</v>
      </c>
      <c r="F17" s="430">
        <f>SUM(F9:F16)</f>
        <v>159461</v>
      </c>
      <c r="G17" s="328" t="s">
        <v>288</v>
      </c>
      <c r="H17" s="327">
        <f>SUM(H9:H16)</f>
        <v>0</v>
      </c>
      <c r="I17" s="328" t="s">
        <v>288</v>
      </c>
      <c r="J17" s="327">
        <f>SUM(J9:J16)</f>
        <v>0</v>
      </c>
      <c r="K17" s="327">
        <f>SUM(B17+D17+F17+H17+J17)</f>
        <v>2564020</v>
      </c>
    </row>
    <row r="18" spans="1:12">
      <c r="A18" s="328" t="s">
        <v>289</v>
      </c>
      <c r="B18" s="327">
        <f>SUM(B7+B17)</f>
        <v>2319288</v>
      </c>
      <c r="C18" s="328" t="s">
        <v>289</v>
      </c>
      <c r="D18" s="327">
        <f>SUM(D7+D17)</f>
        <v>493506</v>
      </c>
      <c r="E18" s="328" t="s">
        <v>289</v>
      </c>
      <c r="F18" s="327">
        <f>SUM(F7+F17)</f>
        <v>744386</v>
      </c>
      <c r="G18" s="328" t="s">
        <v>289</v>
      </c>
      <c r="H18" s="327">
        <f>SUM(H7+H17)</f>
        <v>0</v>
      </c>
      <c r="I18" s="328" t="s">
        <v>289</v>
      </c>
      <c r="J18" s="327">
        <f>SUM(J7+J17)</f>
        <v>0</v>
      </c>
      <c r="K18" s="327">
        <f>SUM(B18+D18+F18+H18+J18)</f>
        <v>3557180</v>
      </c>
    </row>
    <row r="19" spans="1:12">
      <c r="A19" s="328" t="s">
        <v>291</v>
      </c>
      <c r="B19" s="329"/>
      <c r="C19" s="328" t="s">
        <v>291</v>
      </c>
      <c r="D19" s="330"/>
      <c r="E19" s="328" t="s">
        <v>291</v>
      </c>
      <c r="F19" s="174"/>
      <c r="G19" s="328" t="s">
        <v>291</v>
      </c>
      <c r="H19" s="146"/>
      <c r="I19" s="328" t="s">
        <v>291</v>
      </c>
      <c r="J19" s="146"/>
      <c r="K19" s="174"/>
    </row>
    <row r="20" spans="1:12">
      <c r="A20" s="331" t="s">
        <v>1240</v>
      </c>
      <c r="B20" s="325">
        <v>90044</v>
      </c>
      <c r="C20" s="335" t="s">
        <v>1240</v>
      </c>
      <c r="D20" s="325">
        <v>256869</v>
      </c>
      <c r="E20" s="335" t="s">
        <v>1240</v>
      </c>
      <c r="F20" s="325">
        <v>136681</v>
      </c>
      <c r="G20" s="335"/>
      <c r="H20" s="325"/>
      <c r="I20" s="335"/>
      <c r="J20" s="325"/>
      <c r="K20" s="174"/>
    </row>
    <row r="21" spans="1:12">
      <c r="A21" s="331" t="s">
        <v>1238</v>
      </c>
      <c r="B21" s="325">
        <v>220619</v>
      </c>
      <c r="C21" s="335" t="s">
        <v>1063</v>
      </c>
      <c r="D21" s="325">
        <v>177030</v>
      </c>
      <c r="E21" s="335" t="s">
        <v>1238</v>
      </c>
      <c r="F21" s="325">
        <v>3040</v>
      </c>
      <c r="G21" s="335"/>
      <c r="H21" s="325"/>
      <c r="I21" s="335"/>
      <c r="J21" s="325"/>
      <c r="K21" s="174"/>
    </row>
    <row r="22" spans="1:12">
      <c r="A22" s="331" t="s">
        <v>1126</v>
      </c>
      <c r="B22" s="325">
        <v>332861</v>
      </c>
      <c r="C22" s="337"/>
      <c r="D22" s="325"/>
      <c r="E22" s="337"/>
      <c r="F22" s="325"/>
      <c r="G22" s="337"/>
      <c r="H22" s="325"/>
      <c r="I22" s="334"/>
      <c r="J22" s="325"/>
      <c r="K22" s="174"/>
    </row>
    <row r="23" spans="1:12">
      <c r="A23" s="331"/>
      <c r="B23" s="325"/>
      <c r="C23" s="335"/>
      <c r="D23" s="325"/>
      <c r="E23" s="335"/>
      <c r="F23" s="325"/>
      <c r="G23" s="335"/>
      <c r="H23" s="325"/>
      <c r="I23" s="335"/>
      <c r="J23" s="325"/>
      <c r="K23" s="174"/>
    </row>
    <row r="24" spans="1:12">
      <c r="A24" s="331"/>
      <c r="B24" s="325"/>
      <c r="C24" s="337"/>
      <c r="D24" s="325"/>
      <c r="E24" s="337"/>
      <c r="F24" s="325"/>
      <c r="G24" s="337"/>
      <c r="H24" s="325"/>
      <c r="I24" s="334"/>
      <c r="J24" s="325"/>
      <c r="K24" s="174"/>
    </row>
    <row r="25" spans="1:12">
      <c r="A25" s="331"/>
      <c r="B25" s="325"/>
      <c r="C25" s="335"/>
      <c r="D25" s="325"/>
      <c r="E25" s="335"/>
      <c r="F25" s="325"/>
      <c r="G25" s="335"/>
      <c r="H25" s="325"/>
      <c r="I25" s="335"/>
      <c r="J25" s="325"/>
      <c r="K25" s="174"/>
    </row>
    <row r="26" spans="1:12">
      <c r="A26" s="331"/>
      <c r="B26" s="325"/>
      <c r="C26" s="335"/>
      <c r="D26" s="325"/>
      <c r="E26" s="335"/>
      <c r="F26" s="325"/>
      <c r="G26" s="335"/>
      <c r="H26" s="325"/>
      <c r="I26" s="335"/>
      <c r="J26" s="325"/>
      <c r="K26" s="174"/>
    </row>
    <row r="27" spans="1:12">
      <c r="A27" s="331"/>
      <c r="B27" s="325"/>
      <c r="C27" s="331"/>
      <c r="D27" s="325"/>
      <c r="E27" s="331"/>
      <c r="F27" s="325"/>
      <c r="G27" s="335"/>
      <c r="H27" s="325"/>
      <c r="I27" s="335"/>
      <c r="J27" s="325"/>
      <c r="K27" s="174"/>
    </row>
    <row r="28" spans="1:12">
      <c r="A28" s="328" t="s">
        <v>295</v>
      </c>
      <c r="B28" s="327">
        <f>SUM(B20:B27)</f>
        <v>643524</v>
      </c>
      <c r="C28" s="328" t="s">
        <v>295</v>
      </c>
      <c r="D28" s="327">
        <f>SUM(D20:D27)</f>
        <v>433899</v>
      </c>
      <c r="E28" s="328" t="s">
        <v>295</v>
      </c>
      <c r="F28" s="430">
        <f>SUM(F20:F27)</f>
        <v>139721</v>
      </c>
      <c r="G28" s="328" t="s">
        <v>295</v>
      </c>
      <c r="H28" s="430">
        <f>SUM(H20:H27)</f>
        <v>0</v>
      </c>
      <c r="I28" s="328" t="s">
        <v>295</v>
      </c>
      <c r="J28" s="327">
        <f>SUM(J20:J27)</f>
        <v>0</v>
      </c>
      <c r="K28" s="327">
        <f>SUM(B28+D28+F28+H28+J28)</f>
        <v>1217144</v>
      </c>
    </row>
    <row r="29" spans="1:12">
      <c r="A29" s="328" t="s">
        <v>88</v>
      </c>
      <c r="B29" s="327">
        <f>SUM(B18-B28)</f>
        <v>1675764</v>
      </c>
      <c r="C29" s="328" t="s">
        <v>88</v>
      </c>
      <c r="D29" s="327">
        <f>SUM(D18-D28)</f>
        <v>59607</v>
      </c>
      <c r="E29" s="328" t="s">
        <v>88</v>
      </c>
      <c r="F29" s="327">
        <f>SUM(F18-F28)</f>
        <v>604665</v>
      </c>
      <c r="G29" s="328" t="s">
        <v>88</v>
      </c>
      <c r="H29" s="327">
        <f>SUM(H18-H28)</f>
        <v>0</v>
      </c>
      <c r="I29" s="328" t="s">
        <v>88</v>
      </c>
      <c r="J29" s="327">
        <f>SUM(J18-J28)</f>
        <v>0</v>
      </c>
      <c r="K29" s="338">
        <f>SUM(B29+D29+F29+H29+J29)</f>
        <v>2340036</v>
      </c>
      <c r="L29" s="68" t="s">
        <v>150</v>
      </c>
    </row>
    <row r="30" spans="1:12">
      <c r="A30" s="328"/>
      <c r="B30" s="339" t="str">
        <f>IF(B29&lt;0,"See Tab B","")</f>
        <v/>
      </c>
      <c r="C30" s="328"/>
      <c r="D30" s="339" t="str">
        <f>IF(D29&lt;0,"See Tab B","")</f>
        <v/>
      </c>
      <c r="E30" s="328"/>
      <c r="F30" s="339" t="str">
        <f>IF(F29&lt;0,"See Tab B","")</f>
        <v/>
      </c>
      <c r="G30" s="146"/>
      <c r="H30" s="339" t="str">
        <f>IF(H29&lt;0,"See Tab B","")</f>
        <v/>
      </c>
      <c r="I30" s="146"/>
      <c r="J30" s="339" t="str">
        <f>IF(J29&lt;0,"See Tab B","")</f>
        <v/>
      </c>
      <c r="K30" s="338">
        <f>SUM(K7+K17-K28)</f>
        <v>2340036</v>
      </c>
      <c r="L30" s="68" t="s">
        <v>150</v>
      </c>
    </row>
    <row r="31" spans="1:12">
      <c r="A31" s="146"/>
      <c r="B31" s="235"/>
      <c r="C31" s="146"/>
      <c r="D31" s="174"/>
      <c r="E31" s="146"/>
      <c r="F31" s="146"/>
      <c r="G31" s="78" t="s">
        <v>151</v>
      </c>
      <c r="H31" s="78"/>
      <c r="I31" s="78"/>
      <c r="J31" s="78"/>
      <c r="K31" s="146"/>
    </row>
    <row r="32" spans="1:12">
      <c r="A32" s="146"/>
      <c r="B32" s="235"/>
      <c r="C32" s="146"/>
      <c r="D32" s="146"/>
      <c r="E32" s="146"/>
      <c r="F32" s="146"/>
      <c r="G32" s="146"/>
      <c r="H32" s="146"/>
      <c r="I32" s="146"/>
      <c r="J32" s="146"/>
      <c r="K32" s="146"/>
    </row>
    <row r="33" spans="1:11">
      <c r="A33" s="146"/>
      <c r="B33" s="235"/>
      <c r="C33" s="146"/>
      <c r="D33" s="146"/>
      <c r="E33" s="243" t="s">
        <v>298</v>
      </c>
      <c r="F33" s="297">
        <v>26</v>
      </c>
      <c r="G33" s="146"/>
      <c r="H33" s="146"/>
      <c r="I33" s="146"/>
      <c r="J33" s="146"/>
      <c r="K33" s="146"/>
    </row>
    <row r="34" spans="1:11">
      <c r="B34" s="340"/>
    </row>
    <row r="35" spans="1:11">
      <c r="B35" s="340"/>
    </row>
    <row r="36" spans="1:11">
      <c r="B36" s="340"/>
    </row>
    <row r="37" spans="1:11">
      <c r="B37" s="340"/>
    </row>
    <row r="38" spans="1:11">
      <c r="B38" s="340"/>
    </row>
    <row r="39" spans="1:11">
      <c r="B39" s="340"/>
    </row>
    <row r="40" spans="1:11">
      <c r="B40" s="340"/>
    </row>
    <row r="41" spans="1:11">
      <c r="B41" s="340"/>
    </row>
  </sheetData>
  <mergeCells count="5">
    <mergeCell ref="I5:J5"/>
    <mergeCell ref="A5:B5"/>
    <mergeCell ref="C5:D5"/>
    <mergeCell ref="E5:F5"/>
    <mergeCell ref="G5:H5"/>
  </mergeCells>
  <phoneticPr fontId="9" type="noConversion"/>
  <pageMargins left="0.75" right="0.75" top="1" bottom="1" header="0.5" footer="0.5"/>
  <pageSetup paperSize="17" scale="81" orientation="landscape" blackAndWhite="1" r:id="rId1"/>
  <headerFooter alignWithMargins="0">
    <oddHeader>&amp;RState of Kansas
City</oddHeader>
  </headerFooter>
</worksheet>
</file>

<file path=xl/worksheets/sheet33.xml><?xml version="1.0" encoding="utf-8"?>
<worksheet xmlns="http://schemas.openxmlformats.org/spreadsheetml/2006/main" xmlns:r="http://schemas.openxmlformats.org/officeDocument/2006/relationships">
  <dimension ref="A1:A69"/>
  <sheetViews>
    <sheetView workbookViewId="0">
      <selection activeCell="A2" sqref="A2"/>
    </sheetView>
  </sheetViews>
  <sheetFormatPr defaultColWidth="8.88671875" defaultRowHeight="15"/>
  <cols>
    <col min="1" max="1" width="70.5546875" style="313" customWidth="1"/>
    <col min="2" max="16384" width="8.88671875" style="313"/>
  </cols>
  <sheetData>
    <row r="1" spans="1:1" ht="18.75">
      <c r="A1" s="545" t="s">
        <v>355</v>
      </c>
    </row>
    <row r="2" spans="1:1" ht="15.75">
      <c r="A2" s="543"/>
    </row>
    <row r="3" spans="1:1" ht="47.25">
      <c r="A3" s="542" t="s">
        <v>356</v>
      </c>
    </row>
    <row r="4" spans="1:1" ht="15.75">
      <c r="A4" s="544"/>
    </row>
    <row r="5" spans="1:1" ht="15.75">
      <c r="A5" s="543"/>
    </row>
    <row r="6" spans="1:1" ht="31.5">
      <c r="A6" s="542" t="s">
        <v>357</v>
      </c>
    </row>
    <row r="7" spans="1:1" ht="15.75">
      <c r="A7" s="543"/>
    </row>
    <row r="8" spans="1:1" ht="15.75">
      <c r="A8" s="544"/>
    </row>
    <row r="9" spans="1:1" ht="31.5">
      <c r="A9" s="542" t="s">
        <v>358</v>
      </c>
    </row>
    <row r="10" spans="1:1" ht="15.75">
      <c r="A10" s="543"/>
    </row>
    <row r="11" spans="1:1" ht="15.75">
      <c r="A11" s="544"/>
    </row>
    <row r="12" spans="1:1" ht="47.25">
      <c r="A12" s="542" t="s">
        <v>359</v>
      </c>
    </row>
    <row r="13" spans="1:1" ht="15.75">
      <c r="A13" s="543"/>
    </row>
    <row r="14" spans="1:1" ht="15.75">
      <c r="A14" s="543"/>
    </row>
    <row r="15" spans="1:1" ht="47.25">
      <c r="A15" s="542" t="s">
        <v>360</v>
      </c>
    </row>
    <row r="16" spans="1:1" ht="15.75">
      <c r="A16" s="543"/>
    </row>
    <row r="17" spans="1:1" ht="15.75">
      <c r="A17" s="543"/>
    </row>
    <row r="18" spans="1:1" ht="47.25">
      <c r="A18" s="542" t="s">
        <v>361</v>
      </c>
    </row>
    <row r="19" spans="1:1" ht="15.75">
      <c r="A19" s="543"/>
    </row>
    <row r="20" spans="1:1" ht="15.75">
      <c r="A20" s="543"/>
    </row>
    <row r="21" spans="1:1" ht="47.25">
      <c r="A21" s="542" t="s">
        <v>362</v>
      </c>
    </row>
    <row r="22" spans="1:1" ht="15.75">
      <c r="A22" s="544"/>
    </row>
    <row r="23" spans="1:1" ht="15.75">
      <c r="A23" s="544"/>
    </row>
    <row r="24" spans="1:1" ht="47.25">
      <c r="A24" s="542" t="s">
        <v>363</v>
      </c>
    </row>
    <row r="25" spans="1:1" ht="15.75">
      <c r="A25" s="543"/>
    </row>
    <row r="26" spans="1:1" ht="15.75">
      <c r="A26" s="543"/>
    </row>
    <row r="27" spans="1:1" ht="47.25">
      <c r="A27" s="546" t="s">
        <v>750</v>
      </c>
    </row>
    <row r="28" spans="1:1" ht="15.75">
      <c r="A28" s="543"/>
    </row>
    <row r="29" spans="1:1" ht="15.75">
      <c r="A29" s="543"/>
    </row>
    <row r="30" spans="1:1" ht="31.5">
      <c r="A30" s="542" t="s">
        <v>364</v>
      </c>
    </row>
    <row r="31" spans="1:1" ht="15.75">
      <c r="A31" s="543"/>
    </row>
    <row r="32" spans="1:1" ht="15.75">
      <c r="A32" s="543"/>
    </row>
    <row r="33" spans="1:1" ht="31.5">
      <c r="A33" s="542" t="s">
        <v>365</v>
      </c>
    </row>
    <row r="34" spans="1:1" ht="15.75">
      <c r="A34" s="544"/>
    </row>
    <row r="35" spans="1:1" ht="15.75">
      <c r="A35" s="544"/>
    </row>
    <row r="36" spans="1:1" ht="31.5">
      <c r="A36" s="542" t="s">
        <v>366</v>
      </c>
    </row>
    <row r="37" spans="1:1" ht="15.75">
      <c r="A37" s="544"/>
    </row>
    <row r="38" spans="1:1" ht="15.75">
      <c r="A38" s="543"/>
    </row>
    <row r="39" spans="1:1" ht="63">
      <c r="A39" s="542" t="s">
        <v>367</v>
      </c>
    </row>
    <row r="40" spans="1:1" ht="15.75">
      <c r="A40" s="543"/>
    </row>
    <row r="41" spans="1:1" ht="15.75">
      <c r="A41" s="543"/>
    </row>
    <row r="42" spans="1:1" ht="47.25">
      <c r="A42" s="542" t="s">
        <v>368</v>
      </c>
    </row>
    <row r="43" spans="1:1" ht="15.75">
      <c r="A43" s="544"/>
    </row>
    <row r="44" spans="1:1" ht="15.75">
      <c r="A44" s="543"/>
    </row>
    <row r="45" spans="1:1" ht="47.25">
      <c r="A45" s="542" t="s">
        <v>369</v>
      </c>
    </row>
    <row r="46" spans="1:1" ht="15.75">
      <c r="A46" s="543"/>
    </row>
    <row r="47" spans="1:1" ht="15.75">
      <c r="A47" s="543"/>
    </row>
    <row r="48" spans="1:1" ht="31.5">
      <c r="A48" s="542" t="s">
        <v>370</v>
      </c>
    </row>
    <row r="49" spans="1:1" ht="15.75">
      <c r="A49" s="543"/>
    </row>
    <row r="50" spans="1:1" ht="15.75">
      <c r="A50" s="543"/>
    </row>
    <row r="51" spans="1:1" ht="63">
      <c r="A51" s="542" t="s">
        <v>371</v>
      </c>
    </row>
    <row r="52" spans="1:1" ht="15.75">
      <c r="A52" s="544"/>
    </row>
    <row r="53" spans="1:1" ht="15.75">
      <c r="A53" s="544"/>
    </row>
    <row r="54" spans="1:1" ht="47.25">
      <c r="A54" s="542" t="s">
        <v>372</v>
      </c>
    </row>
    <row r="55" spans="1:1" ht="15.75">
      <c r="A55" s="543"/>
    </row>
    <row r="56" spans="1:1" ht="15.75">
      <c r="A56" s="543"/>
    </row>
    <row r="57" spans="1:1" ht="31.5">
      <c r="A57" s="542" t="s">
        <v>373</v>
      </c>
    </row>
    <row r="58" spans="1:1" ht="15.75">
      <c r="A58" s="543"/>
    </row>
    <row r="59" spans="1:1" ht="15.75">
      <c r="A59" s="543"/>
    </row>
    <row r="60" spans="1:1" ht="47.25">
      <c r="A60" s="542" t="s">
        <v>374</v>
      </c>
    </row>
    <row r="61" spans="1:1" ht="15.75">
      <c r="A61" s="544"/>
    </row>
    <row r="62" spans="1:1" ht="15.75">
      <c r="A62" s="544"/>
    </row>
    <row r="63" spans="1:1" ht="47.25">
      <c r="A63" s="542" t="s">
        <v>375</v>
      </c>
    </row>
    <row r="64" spans="1:1" ht="15.75">
      <c r="A64" s="543"/>
    </row>
    <row r="65" spans="1:1" ht="15.75">
      <c r="A65" s="543"/>
    </row>
    <row r="66" spans="1:1" ht="47.25">
      <c r="A66" s="542" t="s">
        <v>376</v>
      </c>
    </row>
    <row r="67" spans="1:1" ht="15.75">
      <c r="A67" s="314"/>
    </row>
    <row r="68" spans="1:1" ht="15.75">
      <c r="A68" s="314"/>
    </row>
    <row r="69" spans="1:1" ht="15.75">
      <c r="A69" s="315"/>
    </row>
  </sheetData>
  <sheetProtection sheet="1"/>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sheetPr>
    <pageSetUpPr fitToPage="1"/>
  </sheetPr>
  <dimension ref="A1:M65"/>
  <sheetViews>
    <sheetView zoomScale="75" workbookViewId="0">
      <selection activeCell="G52" sqref="G52"/>
    </sheetView>
  </sheetViews>
  <sheetFormatPr defaultColWidth="8.88671875" defaultRowHeight="15.75"/>
  <cols>
    <col min="1" max="1" width="29.109375" style="68" customWidth="1"/>
    <col min="2" max="2" width="15.77734375" style="68" customWidth="1"/>
    <col min="3" max="3" width="10.77734375" style="68" customWidth="1"/>
    <col min="4" max="4" width="15.77734375" style="68" customWidth="1"/>
    <col min="5" max="5" width="10.77734375" style="68" customWidth="1"/>
    <col min="6" max="6" width="15.77734375" style="68" customWidth="1"/>
    <col min="7" max="7" width="12.77734375" style="68" customWidth="1"/>
    <col min="8" max="8" width="10.77734375" style="833" customWidth="1"/>
    <col min="9" max="9" width="8.88671875" style="68"/>
    <col min="10" max="10" width="12.44140625" style="68" customWidth="1"/>
    <col min="11" max="11" width="12.33203125" style="68" customWidth="1"/>
    <col min="12" max="12" width="10.5546875" style="68" customWidth="1"/>
    <col min="13" max="13" width="12.109375" style="68" customWidth="1"/>
    <col min="14" max="16384" width="8.88671875" style="68"/>
  </cols>
  <sheetData>
    <row r="1" spans="1:9">
      <c r="A1" s="900" t="s">
        <v>3</v>
      </c>
      <c r="B1" s="900"/>
      <c r="C1" s="900"/>
      <c r="D1" s="900"/>
      <c r="E1" s="900"/>
      <c r="F1" s="900"/>
      <c r="G1" s="900"/>
      <c r="H1" s="900"/>
      <c r="I1" s="290"/>
    </row>
    <row r="2" spans="1:9" ht="18" customHeight="1">
      <c r="A2" s="945" t="s">
        <v>1195</v>
      </c>
      <c r="B2" s="945"/>
      <c r="C2" s="945"/>
      <c r="D2" s="945"/>
      <c r="E2" s="945"/>
      <c r="F2" s="945"/>
      <c r="G2" s="945"/>
      <c r="H2" s="945"/>
    </row>
    <row r="3" spans="1:9">
      <c r="A3" s="945" t="str">
        <f>CONCATENATE("will meet on the ",inputBudSum!B7," at ",inputBudSum!B9," at ",inputBudSum!B11," to hear and")</f>
        <v>will meet on the August 12, 2013 at 7:30 p.m. at City Hall Council Chambers, 205 East Second Street to hear and</v>
      </c>
      <c r="B3" s="945"/>
      <c r="C3" s="945"/>
      <c r="D3" s="945"/>
      <c r="E3" s="945"/>
      <c r="F3" s="945"/>
      <c r="G3" s="945"/>
      <c r="H3" s="945"/>
    </row>
    <row r="4" spans="1:9" ht="16.5" customHeight="1">
      <c r="A4" s="945" t="s">
        <v>1241</v>
      </c>
      <c r="B4" s="945"/>
      <c r="C4" s="945"/>
      <c r="D4" s="945"/>
      <c r="E4" s="945"/>
      <c r="F4" s="945"/>
      <c r="G4" s="945"/>
      <c r="H4" s="945"/>
    </row>
    <row r="5" spans="1:9" ht="16.5" customHeight="1">
      <c r="A5" s="945" t="str">
        <f>CONCATENATE("Detailed budget information is available at ",inputBudSum!B14," and will be available at this hearing.")</f>
        <v>Detailed budget information is available at City Clerk's Office at City Hall and will be available at this hearing.</v>
      </c>
      <c r="B5" s="945"/>
      <c r="C5" s="945"/>
      <c r="D5" s="945"/>
      <c r="E5" s="945"/>
      <c r="F5" s="945"/>
      <c r="G5" s="945"/>
      <c r="H5" s="945"/>
    </row>
    <row r="6" spans="1:9" ht="16.5" customHeight="1">
      <c r="A6" s="945" t="s">
        <v>1196</v>
      </c>
      <c r="B6" s="945"/>
      <c r="C6" s="945"/>
      <c r="D6" s="945"/>
      <c r="E6" s="945"/>
      <c r="F6" s="945"/>
      <c r="G6" s="945"/>
      <c r="H6" s="823"/>
    </row>
    <row r="7" spans="1:9">
      <c r="A7" s="93" t="s">
        <v>4</v>
      </c>
      <c r="B7" s="94"/>
      <c r="C7" s="94"/>
      <c r="D7" s="94"/>
      <c r="E7" s="94"/>
      <c r="F7" s="94"/>
      <c r="G7" s="94"/>
      <c r="H7" s="824"/>
    </row>
    <row r="8" spans="1:9">
      <c r="A8" s="198" t="s">
        <v>1201</v>
      </c>
      <c r="B8" s="94"/>
      <c r="C8" s="94"/>
      <c r="D8" s="94"/>
      <c r="E8" s="94"/>
      <c r="F8" s="94"/>
      <c r="G8" s="94"/>
      <c r="H8" s="824"/>
    </row>
    <row r="9" spans="1:9">
      <c r="A9" s="198" t="s">
        <v>1202</v>
      </c>
      <c r="B9" s="94"/>
      <c r="C9" s="94"/>
      <c r="D9" s="94"/>
      <c r="E9" s="94"/>
      <c r="F9" s="94"/>
      <c r="G9" s="94"/>
      <c r="H9" s="824"/>
    </row>
    <row r="10" spans="1:9">
      <c r="A10" s="84"/>
      <c r="B10" s="292" t="s">
        <v>1197</v>
      </c>
      <c r="C10" s="201"/>
      <c r="D10" s="292" t="s">
        <v>1198</v>
      </c>
      <c r="E10" s="201"/>
      <c r="F10" s="199" t="s">
        <v>1199</v>
      </c>
      <c r="G10" s="200"/>
      <c r="H10" s="825"/>
    </row>
    <row r="11" spans="1:9" ht="21" customHeight="1">
      <c r="A11" s="84"/>
      <c r="B11" s="293"/>
      <c r="C11" s="204" t="s">
        <v>302</v>
      </c>
      <c r="D11" s="204"/>
      <c r="E11" s="204" t="s">
        <v>302</v>
      </c>
      <c r="F11" s="204" t="s">
        <v>660</v>
      </c>
      <c r="G11" s="204" t="s">
        <v>1200</v>
      </c>
      <c r="H11" s="826" t="s">
        <v>116</v>
      </c>
    </row>
    <row r="12" spans="1:9">
      <c r="A12" s="104" t="s">
        <v>303</v>
      </c>
      <c r="B12" s="208" t="s">
        <v>304</v>
      </c>
      <c r="C12" s="208" t="s">
        <v>305</v>
      </c>
      <c r="D12" s="208" t="s">
        <v>304</v>
      </c>
      <c r="E12" s="208" t="s">
        <v>305</v>
      </c>
      <c r="F12" s="208" t="s">
        <v>661</v>
      </c>
      <c r="G12" s="209" t="s">
        <v>283</v>
      </c>
      <c r="H12" s="827" t="s">
        <v>305</v>
      </c>
    </row>
    <row r="13" spans="1:9">
      <c r="A13" s="124" t="str">
        <f>inputPrYr!B22</f>
        <v>General</v>
      </c>
      <c r="B13" s="303">
        <f>IF(general!$C$79&lt;&gt;0,general!$C$79,"  ")</f>
        <v>6157042</v>
      </c>
      <c r="C13" s="484">
        <f>IF(inputPrYr!D93&gt;0,inputPrYr!D93,"  ")</f>
        <v>18.838999999999999</v>
      </c>
      <c r="D13" s="303">
        <f>IF(general!$D$79&lt;&gt;0,general!$D$79,"  ")</f>
        <v>7264267</v>
      </c>
      <c r="E13" s="484">
        <f>IF(inputOth!D29&gt;0,inputOth!D29,"  ")</f>
        <v>18.533000000000001</v>
      </c>
      <c r="F13" s="303">
        <f>IF(general!$E$79&lt;&gt;0,general!$E$79,"  ")</f>
        <v>7466219</v>
      </c>
      <c r="G13" s="303">
        <f>IF(general!$E$86&lt;&gt;0,general!$E$86,"  ")</f>
        <v>1493170.3899999997</v>
      </c>
      <c r="H13" s="828">
        <f>IF(general!E86&gt;0,ROUND(G13/$F$50*1000,4),"  ")</f>
        <v>22.768599999999999</v>
      </c>
    </row>
    <row r="14" spans="1:9">
      <c r="A14" s="124" t="str">
        <f>inputPrYr!B23</f>
        <v>Debt Service</v>
      </c>
      <c r="B14" s="303">
        <f>IF(DebtSvs!$C$42&lt;&gt;0,DebtSvs!$C$42,"  ")</f>
        <v>2691015</v>
      </c>
      <c r="C14" s="484">
        <f>IF(inputPrYr!D94&gt;0,inputPrYr!D94,"  ")</f>
        <v>6.9539999999999997</v>
      </c>
      <c r="D14" s="303">
        <f>IF(DebtSvs!$D$42&lt;&gt;0,DebtSvs!$D$42,"  ")</f>
        <v>2686780</v>
      </c>
      <c r="E14" s="484">
        <f>IF(inputOth!D30&gt;0,inputOth!D30,"  ")</f>
        <v>7.1269999999999998</v>
      </c>
      <c r="F14" s="303">
        <f>IF(DebtSvs!$E$42&lt;&gt;0,DebtSvs!$E$42,"  ")</f>
        <v>3293392</v>
      </c>
      <c r="G14" s="303">
        <f>IF(DebtSvs!$E$49&lt;&gt;0,DebtSvs!$E$49,"  ")</f>
        <v>372538</v>
      </c>
      <c r="H14" s="828">
        <f>IF(DebtSvs!E49&gt;0,ROUND(G14/$F$50*1000,4),"  ")</f>
        <v>5.6806000000000001</v>
      </c>
    </row>
    <row r="15" spans="1:9">
      <c r="A15" s="124" t="str">
        <f>IF(inputPrYr!$B24&gt;"  ",(inputPrYr!$B24),"  ")</f>
        <v>Library</v>
      </c>
      <c r="B15" s="303">
        <f>Library!C35</f>
        <v>334318</v>
      </c>
      <c r="C15" s="484">
        <f>IF(inputPrYr!D95&gt;0,inputPrYr!D95,"  ")</f>
        <v>4.7850000000000001</v>
      </c>
      <c r="D15" s="821">
        <f>Library!D35</f>
        <v>363331</v>
      </c>
      <c r="E15" s="484">
        <f>IF(inputOth!D31&gt;0,inputOth!D31,"  ")</f>
        <v>4.9450000000000003</v>
      </c>
      <c r="F15" s="303">
        <f>Library!E35</f>
        <v>372748</v>
      </c>
      <c r="G15" s="303">
        <f>Library!E42</f>
        <v>338116</v>
      </c>
      <c r="H15" s="828">
        <f>IF(Library!E42&gt;0,ROUND(G15/$F$50*1000,4),"  ")</f>
        <v>5.1558000000000002</v>
      </c>
    </row>
    <row r="16" spans="1:9">
      <c r="A16" s="124" t="str">
        <f>IF(inputPrYr!$B29&gt;"  ",(inputPrYr!$B29),"  ")</f>
        <v>Spec. Rev. Aquatic Park Facility Sales Tax</v>
      </c>
      <c r="B16" s="303">
        <f>'Aquatic Sales Co Infra'!C30</f>
        <v>442168</v>
      </c>
      <c r="C16" s="215"/>
      <c r="D16" s="303">
        <f>'Aquatic Sales Co Infra'!D30</f>
        <v>441968</v>
      </c>
      <c r="E16" s="215"/>
      <c r="F16" s="303">
        <f>'Aquatic Sales Co Infra'!E30</f>
        <v>926065</v>
      </c>
      <c r="G16" s="303"/>
      <c r="H16" s="828"/>
    </row>
    <row r="17" spans="1:13">
      <c r="A17" s="124" t="str">
        <f>IF(inputPrYr!$B30&gt;"  ",(inputPrYr!$B30),"  ")</f>
        <v>Spec. Rev. County Infrastructure</v>
      </c>
      <c r="B17" s="303">
        <f>'Aquatic Sales Co Infra'!C63</f>
        <v>24783</v>
      </c>
      <c r="C17" s="215"/>
      <c r="D17" s="303">
        <f>'Aquatic Sales Co Infra'!D63</f>
        <v>0</v>
      </c>
      <c r="E17" s="215"/>
      <c r="F17" s="303">
        <f>'Aquatic Sales Co Infra'!E63</f>
        <v>1315</v>
      </c>
      <c r="G17" s="303"/>
      <c r="H17" s="828"/>
    </row>
    <row r="18" spans="1:13">
      <c r="A18" s="124" t="str">
        <f>IF(inputPrYr!$B31&gt;"  ",(inputPrYr!$B31),"  ")</f>
        <v>Spec. Rev. Convention &amp; Tourism</v>
      </c>
      <c r="B18" s="303">
        <f>'Con Tour Drug Alcohol'!C30</f>
        <v>75059</v>
      </c>
      <c r="C18" s="215"/>
      <c r="D18" s="303">
        <f>'Con Tour Drug Alcohol'!D30</f>
        <v>80196</v>
      </c>
      <c r="E18" s="215"/>
      <c r="F18" s="303">
        <f>'Con Tour Drug Alcohol'!E30</f>
        <v>103366</v>
      </c>
      <c r="G18" s="303"/>
      <c r="H18" s="828"/>
    </row>
    <row r="19" spans="1:13">
      <c r="A19" s="124" t="str">
        <f>IF(inputPrYr!$B32&gt;"  ",(inputPrYr!$B32),"  ")</f>
        <v>Spec. Rev. Drug &amp; Alcohol</v>
      </c>
      <c r="B19" s="303">
        <f>'Con Tour Drug Alcohol'!C63</f>
        <v>65935</v>
      </c>
      <c r="C19" s="215"/>
      <c r="D19" s="303">
        <f>'Con Tour Drug Alcohol'!D63</f>
        <v>79325</v>
      </c>
      <c r="E19" s="215"/>
      <c r="F19" s="303">
        <f>'Con Tour Drug Alcohol'!E63</f>
        <v>81250</v>
      </c>
      <c r="G19" s="303"/>
      <c r="H19" s="828"/>
    </row>
    <row r="20" spans="1:13">
      <c r="A20" s="124" t="str">
        <f>IF(inputPrYr!$B33&gt;"  ",(inputPrYr!$B33),"  ")</f>
        <v>Spec. Rev. Economic Development</v>
      </c>
      <c r="B20" s="303">
        <f>'ED EMS Capital'!C30</f>
        <v>9238</v>
      </c>
      <c r="C20" s="215"/>
      <c r="D20" s="303">
        <f>'ED EMS Capital'!D30</f>
        <v>11417</v>
      </c>
      <c r="E20" s="215"/>
      <c r="F20" s="303">
        <f>'ED EMS Capital'!E30</f>
        <v>12574</v>
      </c>
      <c r="G20" s="303"/>
      <c r="H20" s="828"/>
    </row>
    <row r="21" spans="1:13">
      <c r="A21" s="124" t="str">
        <f>IF(inputPrYr!$B34&gt;"  ",(inputPrYr!$B34),"  ")</f>
        <v>Spec. Rev. Emergency Services Capital</v>
      </c>
      <c r="B21" s="303">
        <f>'ED EMS Capital'!C63</f>
        <v>424062</v>
      </c>
      <c r="C21" s="215"/>
      <c r="D21" s="303">
        <f>'ED EMS Capital'!D63</f>
        <v>489924</v>
      </c>
      <c r="E21" s="215"/>
      <c r="F21" s="303">
        <f>'ED EMS Capital'!E63</f>
        <v>703342</v>
      </c>
      <c r="G21" s="303"/>
      <c r="H21" s="828"/>
    </row>
    <row r="22" spans="1:13">
      <c r="A22" s="124" t="str">
        <f>IF(inputPrYr!$B35&gt;"  ",(inputPrYr!$B35),"  ")</f>
        <v>Spec. Rev. Emergency Medical Services</v>
      </c>
      <c r="B22" s="303">
        <f>'EMS Library Sales'!C30</f>
        <v>490715</v>
      </c>
      <c r="C22" s="215"/>
      <c r="D22" s="303">
        <f>'EMS Library Sales'!D30</f>
        <v>554947</v>
      </c>
      <c r="E22" s="215"/>
      <c r="F22" s="303">
        <f>'EMS Library Sales'!E30</f>
        <v>576020</v>
      </c>
      <c r="G22" s="303"/>
      <c r="H22" s="828"/>
    </row>
    <row r="23" spans="1:13">
      <c r="A23" s="124" t="str">
        <f>IF(inputPrYr!$B36&gt;"  ",(inputPrYr!$B36),"  ")</f>
        <v>Spec. Rev. Library Sales Tax</v>
      </c>
      <c r="B23" s="303">
        <f>'EMS Library Sales'!C63</f>
        <v>429840</v>
      </c>
      <c r="C23" s="215"/>
      <c r="D23" s="303">
        <f>'EMS Library Sales'!D63</f>
        <v>387470</v>
      </c>
      <c r="E23" s="215"/>
      <c r="F23" s="303">
        <f>'EMS Library Sales'!E63</f>
        <v>437940</v>
      </c>
      <c r="G23" s="303"/>
      <c r="H23" s="828"/>
    </row>
    <row r="24" spans="1:13">
      <c r="A24" s="124" t="str">
        <f>IF(inputPrYr!$B37&gt;"  ",(inputPrYr!$B37),"  ")</f>
        <v>Spec. Rev. Park Dedication</v>
      </c>
      <c r="B24" s="303">
        <f>'Park Ded Rec Programs'!C24</f>
        <v>0</v>
      </c>
      <c r="C24" s="215"/>
      <c r="D24" s="303">
        <f>'Park Ded Rec Programs'!D24</f>
        <v>0</v>
      </c>
      <c r="E24" s="215"/>
      <c r="F24" s="303">
        <f>'Park Ded Rec Programs'!E24</f>
        <v>0</v>
      </c>
      <c r="G24" s="303"/>
      <c r="H24" s="828"/>
    </row>
    <row r="25" spans="1:13">
      <c r="A25" s="124" t="str">
        <f>IF(inputPrYr!$B38&gt;"  ",(inputPrYr!$B38),"  ")</f>
        <v>Spec. Rev. Recreation Programs</v>
      </c>
      <c r="B25" s="303">
        <f>'Park Ded Rec Programs'!C57</f>
        <v>65684</v>
      </c>
      <c r="C25" s="215"/>
      <c r="D25" s="821">
        <f>'Park Ded Rec Programs'!D57</f>
        <v>143695</v>
      </c>
      <c r="E25" s="215"/>
      <c r="F25" s="303">
        <f>'Park Ded Rec Programs'!E57</f>
        <v>137195</v>
      </c>
      <c r="G25" s="303"/>
      <c r="H25" s="828"/>
    </row>
    <row r="26" spans="1:13">
      <c r="A26" s="124" t="str">
        <f>IF(inputPrYr!$B39&gt;"  ",(inputPrYr!$B39),"  ")</f>
        <v>Spec. Rev. Risk Management</v>
      </c>
      <c r="B26" s="303">
        <f>'Risk Mgmt Sen Ctr'!C30</f>
        <v>10044</v>
      </c>
      <c r="C26" s="215"/>
      <c r="D26" s="303">
        <f>'Risk Mgmt Sen Ctr'!D30</f>
        <v>7506</v>
      </c>
      <c r="E26" s="215"/>
      <c r="F26" s="303">
        <f>'Risk Mgmt Sen Ctr'!E30</f>
        <v>141934</v>
      </c>
      <c r="G26" s="303"/>
      <c r="H26" s="828"/>
    </row>
    <row r="27" spans="1:13">
      <c r="A27" s="124" t="str">
        <f>IF(inputPrYr!$B40&gt;"  ",(inputPrYr!$B40),"  ")</f>
        <v>Spec. Rev. Senior Center</v>
      </c>
      <c r="B27" s="303">
        <f>'Risk Mgmt Sen Ctr'!C63</f>
        <v>43127</v>
      </c>
      <c r="C27" s="215"/>
      <c r="D27" s="303">
        <f>'Risk Mgmt Sen Ctr'!D63</f>
        <v>47450</v>
      </c>
      <c r="E27" s="215"/>
      <c r="F27" s="303">
        <f>'Risk Mgmt Sen Ctr'!E63</f>
        <v>48280</v>
      </c>
      <c r="G27" s="303"/>
      <c r="H27" s="828"/>
      <c r="J27" s="934" t="e">
        <f>CONCATENATE("Estimated Value Of One Mill For ",#REF!,"")</f>
        <v>#REF!</v>
      </c>
      <c r="K27" s="935"/>
      <c r="L27" s="935"/>
      <c r="M27" s="936"/>
    </row>
    <row r="28" spans="1:13">
      <c r="A28" s="124" t="str">
        <f>IF(inputPrYr!$B41&gt;"  ",(inputPrYr!$B41),"  ")</f>
        <v>Spec. Rev. Sidewalk Escrow</v>
      </c>
      <c r="B28" s="303">
        <f>'Sidewalk Soccer'!C30</f>
        <v>0</v>
      </c>
      <c r="C28" s="215"/>
      <c r="D28" s="303">
        <f>'Sidewalk Soccer'!D30</f>
        <v>0</v>
      </c>
      <c r="E28" s="215"/>
      <c r="F28" s="303">
        <f>'Sidewalk Soccer'!E30</f>
        <v>34396</v>
      </c>
      <c r="G28" s="303"/>
      <c r="H28" s="828"/>
      <c r="J28" s="521"/>
      <c r="K28" s="522"/>
      <c r="L28" s="522"/>
      <c r="M28" s="523"/>
    </row>
    <row r="29" spans="1:13">
      <c r="A29" s="124" t="str">
        <f>IF(inputPrYr!$B42&gt;"  ",(inputPrYr!$B42),"  ")</f>
        <v>Spec. Rev. Soccer</v>
      </c>
      <c r="B29" s="303">
        <f>'Sidewalk Soccer'!C57</f>
        <v>18123</v>
      </c>
      <c r="C29" s="215"/>
      <c r="D29" s="821">
        <f>'Sidewalk Soccer'!D57</f>
        <v>11810</v>
      </c>
      <c r="E29" s="215"/>
      <c r="F29" s="303">
        <f>'Sidewalk Soccer'!E57</f>
        <v>11455</v>
      </c>
      <c r="G29" s="303"/>
      <c r="H29" s="828"/>
      <c r="J29" s="524" t="s">
        <v>751</v>
      </c>
      <c r="K29" s="525"/>
      <c r="L29" s="525"/>
      <c r="M29" s="526">
        <f>ROUND(F50/1000,0)</f>
        <v>65580</v>
      </c>
    </row>
    <row r="30" spans="1:13">
      <c r="A30" s="124" t="str">
        <f>IF(inputPrYr!$B43&gt;"  ",(inputPrYr!$B43),"  ")</f>
        <v>Spec. Rev. Special Parks &amp; Recreation</v>
      </c>
      <c r="B30" s="303">
        <f>'Spec Parks Streets'!C22</f>
        <v>64752</v>
      </c>
      <c r="C30" s="215"/>
      <c r="D30" s="821">
        <f>'Spec Parks Streets'!D22</f>
        <v>105400</v>
      </c>
      <c r="E30" s="215"/>
      <c r="F30" s="303">
        <f>'Spec Parks Streets'!E22</f>
        <v>60342</v>
      </c>
      <c r="G30" s="303"/>
      <c r="H30" s="828"/>
    </row>
    <row r="31" spans="1:13">
      <c r="A31" s="124" t="str">
        <f>IF(inputPrYr!$B44&gt;"  ",(inputPrYr!$B44),"  ")</f>
        <v>Spec. Rev. Street Projects</v>
      </c>
      <c r="B31" s="303">
        <f>'Spec Parks Streets'!C51</f>
        <v>606637</v>
      </c>
      <c r="C31" s="215"/>
      <c r="D31" s="821">
        <f>'Spec Parks Streets'!D51</f>
        <v>578912</v>
      </c>
      <c r="E31" s="215"/>
      <c r="F31" s="303">
        <f>'Spec Parks Streets'!E51</f>
        <v>539100</v>
      </c>
      <c r="G31" s="303"/>
      <c r="H31" s="828"/>
      <c r="J31" s="934" t="e">
        <f>CONCATENATE("Want The Mill Rate The Same As For ",#REF!-1,"?")</f>
        <v>#REF!</v>
      </c>
      <c r="K31" s="935"/>
      <c r="L31" s="935"/>
      <c r="M31" s="936"/>
    </row>
    <row r="32" spans="1:13">
      <c r="A32" s="124" t="str">
        <f>IF(inputPrYr!$B45&gt;"  ",(inputPrYr!$B45),"  ")</f>
        <v>Spec. Rev. Summer Ball</v>
      </c>
      <c r="B32" s="303">
        <f>'Ball Pool'!C23</f>
        <v>23761</v>
      </c>
      <c r="C32" s="215"/>
      <c r="D32" s="303">
        <f>'Ball Pool'!D23</f>
        <v>42270</v>
      </c>
      <c r="E32" s="215"/>
      <c r="F32" s="303">
        <f>'Ball Pool'!E23</f>
        <v>46250</v>
      </c>
      <c r="G32" s="303"/>
      <c r="H32" s="828"/>
      <c r="J32" s="528"/>
      <c r="K32" s="522"/>
      <c r="L32" s="522"/>
      <c r="M32" s="529"/>
    </row>
    <row r="33" spans="1:13">
      <c r="A33" s="124" t="str">
        <f>IF(inputPrYr!$B46&gt;"  ",(inputPrYr!$B46),"  ")</f>
        <v>Spec. Rev. Swimming Pool</v>
      </c>
      <c r="B33" s="303">
        <f>'Ball Pool'!C58</f>
        <v>253911</v>
      </c>
      <c r="C33" s="215"/>
      <c r="D33" s="303">
        <f>'Ball Pool'!D58</f>
        <v>245645</v>
      </c>
      <c r="E33" s="215"/>
      <c r="F33" s="303">
        <f>'Ball Pool'!E58</f>
        <v>261924</v>
      </c>
      <c r="G33" s="303"/>
      <c r="H33" s="828"/>
      <c r="J33" s="528" t="e">
        <f>CONCATENATE("",#REF!-1," Mill Rate Was:")</f>
        <v>#REF!</v>
      </c>
      <c r="K33" s="522"/>
      <c r="L33" s="522"/>
      <c r="M33" s="530">
        <f>E45</f>
        <v>30.605</v>
      </c>
    </row>
    <row r="34" spans="1:13">
      <c r="A34" s="124" t="str">
        <f>IF(inputPrYr!$B47&gt;"  ",(inputPrYr!$B47),"  ")</f>
        <v>Spec. Rev. Tiblow Transit</v>
      </c>
      <c r="B34" s="303">
        <f>'Tiblow TIF Develop'!C31</f>
        <v>85985</v>
      </c>
      <c r="C34" s="215"/>
      <c r="D34" s="303">
        <f>'Tiblow TIF Develop'!D31</f>
        <v>95389</v>
      </c>
      <c r="E34" s="215"/>
      <c r="F34" s="303">
        <f>'Tiblow TIF Develop'!E31</f>
        <v>90533</v>
      </c>
      <c r="G34" s="303"/>
      <c r="H34" s="828"/>
      <c r="J34" s="531" t="e">
        <f>CONCATENATE("",#REF!," Tax Levy Fund Expenditures Must Be")</f>
        <v>#REF!</v>
      </c>
      <c r="K34" s="532"/>
      <c r="L34" s="532"/>
      <c r="M34" s="529"/>
    </row>
    <row r="35" spans="1:13">
      <c r="A35" s="124" t="str">
        <f>IF(inputPrYr!$B48&gt;"  ",(inputPrYr!$B48),"  ")</f>
        <v>Spec. Rev. TIF Develop Funds</v>
      </c>
      <c r="B35" s="303">
        <f>'Tiblow TIF Develop'!C64</f>
        <v>0</v>
      </c>
      <c r="C35" s="215"/>
      <c r="D35" s="303">
        <f>'Tiblow TIF Develop'!D64</f>
        <v>0</v>
      </c>
      <c r="E35" s="215"/>
      <c r="F35" s="303">
        <f>'Tiblow TIF Develop'!E64</f>
        <v>0</v>
      </c>
      <c r="G35" s="303"/>
      <c r="H35" s="828"/>
      <c r="J35" s="531" t="str">
        <f>IF(M35&gt;0,"Increased By:","")</f>
        <v/>
      </c>
      <c r="K35" s="532"/>
      <c r="L35" s="532"/>
      <c r="M35" s="600">
        <f>IF(M47&lt;0,M47*-1,0)</f>
        <v>0</v>
      </c>
    </row>
    <row r="36" spans="1:13">
      <c r="A36" s="124" t="str">
        <f>IF(inputPrYr!$B49&gt;"  ",(inputPrYr!$B49),"  ")</f>
        <v>Bonner Pointe TIF Increment</v>
      </c>
      <c r="B36" s="303">
        <f>'TIF Increment CID Develop'!C30</f>
        <v>124596</v>
      </c>
      <c r="C36" s="215"/>
      <c r="D36" s="303">
        <f>'TIF Increment CID Develop'!D30</f>
        <v>140000</v>
      </c>
      <c r="E36" s="215"/>
      <c r="F36" s="303">
        <f>'TIF Increment CID Develop'!E30</f>
        <v>180000</v>
      </c>
      <c r="G36" s="303"/>
      <c r="H36" s="828"/>
      <c r="J36" s="601" t="str">
        <f>IF(M36&lt;0,"Reduced By:","")</f>
        <v>Reduced By:</v>
      </c>
      <c r="K36" s="602"/>
      <c r="L36" s="602"/>
      <c r="M36" s="603">
        <f>IF(M47&gt;0,M47*-1,0)</f>
        <v>-196740.38999999966</v>
      </c>
    </row>
    <row r="37" spans="1:13">
      <c r="A37" s="124" t="str">
        <f>IF(inputPrYr!$B50&gt;"  ",(inputPrYr!$B50),"  ")</f>
        <v>CID Development Fees</v>
      </c>
      <c r="B37" s="303">
        <f>'TIF Increment CID Develop'!C63</f>
        <v>0</v>
      </c>
      <c r="C37" s="215"/>
      <c r="D37" s="821">
        <f>'TIF Increment CID Develop'!D63</f>
        <v>11190</v>
      </c>
      <c r="E37" s="215"/>
      <c r="F37" s="303">
        <f>'TIF Increment CID Develop'!E63</f>
        <v>0</v>
      </c>
      <c r="G37" s="303"/>
      <c r="H37" s="828"/>
      <c r="J37" s="788"/>
      <c r="K37" s="788"/>
      <c r="L37" s="788"/>
      <c r="M37" s="789"/>
    </row>
    <row r="38" spans="1:13">
      <c r="A38" s="124" t="str">
        <f>IF(inputPrYr!$B51&gt;"  ",(inputPrYr!$B51),"  ")</f>
        <v>Bonner Springs Center CID</v>
      </c>
      <c r="B38" s="303">
        <f>'Center CID Ctr City Contrib'!C30</f>
        <v>58446</v>
      </c>
      <c r="C38" s="215"/>
      <c r="D38" s="303">
        <f>'Center CID Ctr City Contrib'!D30</f>
        <v>100000</v>
      </c>
      <c r="E38" s="215"/>
      <c r="F38" s="303">
        <f>'Center CID Ctr City Contrib'!E30</f>
        <v>100000</v>
      </c>
      <c r="G38" s="303"/>
      <c r="H38" s="828"/>
      <c r="J38" s="788"/>
      <c r="K38" s="788"/>
      <c r="L38" s="788"/>
      <c r="M38" s="789"/>
    </row>
    <row r="39" spans="1:13">
      <c r="A39" s="124" t="str">
        <f>IF(inputPrYr!$B52&gt;"  ",(inputPrYr!$B52),"  ")</f>
        <v>Bonner Springs Ctr City Contribution</v>
      </c>
      <c r="B39" s="303">
        <f>'Center CID Ctr City Contrib'!C63</f>
        <v>18144</v>
      </c>
      <c r="C39" s="215"/>
      <c r="D39" s="303">
        <f>'Center CID Ctr City Contrib'!D63</f>
        <v>33000</v>
      </c>
      <c r="E39" s="215"/>
      <c r="F39" s="303">
        <f>'Center CID Ctr City Contrib'!E63</f>
        <v>33000</v>
      </c>
      <c r="G39" s="303"/>
      <c r="H39" s="828"/>
      <c r="J39" s="788"/>
      <c r="K39" s="788"/>
      <c r="L39" s="788"/>
      <c r="M39" s="789"/>
    </row>
    <row r="40" spans="1:13">
      <c r="A40" s="124" t="str">
        <f>IF(inputPrYr!$B53&gt;"  ",(inputPrYr!$B53),"  ")</f>
        <v>Enterprise Fund - Solid Waste</v>
      </c>
      <c r="B40" s="303">
        <f>'Solid Waste Storm'!C26</f>
        <v>353091</v>
      </c>
      <c r="C40" s="215"/>
      <c r="D40" s="303">
        <f>'Solid Waste Storm'!D26</f>
        <v>338184</v>
      </c>
      <c r="E40" s="215"/>
      <c r="F40" s="303">
        <f>'Solid Waste Storm'!E26</f>
        <v>380110</v>
      </c>
      <c r="G40" s="303"/>
      <c r="H40" s="828"/>
      <c r="J40" s="788"/>
      <c r="K40" s="788"/>
      <c r="L40" s="788"/>
      <c r="M40" s="789"/>
    </row>
    <row r="41" spans="1:13">
      <c r="A41" s="124" t="str">
        <f>IF(inputPrYr!$B54&gt;"  ",(inputPrYr!$B54),"  ")</f>
        <v>Enterprise Fund - Storm Water</v>
      </c>
      <c r="B41" s="303">
        <f>'Solid Waste Storm'!C55</f>
        <v>48382</v>
      </c>
      <c r="C41" s="215"/>
      <c r="D41" s="303">
        <f>'Solid Waste Storm'!D55</f>
        <v>110293</v>
      </c>
      <c r="E41" s="215"/>
      <c r="F41" s="303">
        <f>'Solid Waste Storm'!E55</f>
        <v>175378</v>
      </c>
      <c r="G41" s="303"/>
      <c r="H41" s="828"/>
      <c r="J41" s="788"/>
      <c r="K41" s="788"/>
      <c r="L41" s="788"/>
      <c r="M41" s="789"/>
    </row>
    <row r="42" spans="1:13">
      <c r="A42" s="124" t="str">
        <f>IF(inputPrYr!$B55&gt;"  ",(inputPrYr!$B55),"  ")</f>
        <v>Enterprise Fund - Waste Water</v>
      </c>
      <c r="B42" s="303">
        <f>'Waste Water'!C37</f>
        <v>1525646</v>
      </c>
      <c r="C42" s="215"/>
      <c r="D42" s="303">
        <f>'Waste Water'!D37</f>
        <v>1480719</v>
      </c>
      <c r="E42" s="215"/>
      <c r="F42" s="303">
        <f>'Waste Water'!E37</f>
        <v>1658907</v>
      </c>
      <c r="G42" s="303"/>
      <c r="H42" s="828"/>
      <c r="J42" s="788"/>
      <c r="K42" s="788"/>
      <c r="L42" s="788"/>
      <c r="M42" s="789"/>
    </row>
    <row r="43" spans="1:13">
      <c r="A43" s="124" t="str">
        <f>IF(inputPrYr!$B56&gt;"  ",(inputPrYr!$B56),"  ")</f>
        <v>Enterprise Fund - Water</v>
      </c>
      <c r="B43" s="303">
        <f>Water!C35</f>
        <v>1775682</v>
      </c>
      <c r="C43" s="215"/>
      <c r="D43" s="821">
        <f>Water!D35</f>
        <v>1860601</v>
      </c>
      <c r="E43" s="215"/>
      <c r="F43" s="303">
        <f>Water!E35</f>
        <v>2325055</v>
      </c>
      <c r="G43" s="303"/>
      <c r="H43" s="828"/>
      <c r="J43" s="788"/>
      <c r="K43" s="788"/>
      <c r="L43" s="788"/>
      <c r="M43" s="789"/>
    </row>
    <row r="44" spans="1:13" ht="16.5" thickBot="1">
      <c r="A44" s="124" t="str">
        <f>IF(inputPrYr!$B57&gt;"  ",(inputPrYr!$B57),"  ")</f>
        <v>Non Budgeted Funds</v>
      </c>
      <c r="B44" s="303">
        <f>NonBudA!K28</f>
        <v>1217144</v>
      </c>
      <c r="C44" s="215"/>
      <c r="D44" s="303">
        <v>0</v>
      </c>
      <c r="E44" s="215"/>
      <c r="F44" s="303">
        <v>0</v>
      </c>
      <c r="G44" s="303"/>
      <c r="H44" s="828"/>
      <c r="J44" s="788"/>
      <c r="K44" s="788"/>
      <c r="L44" s="788"/>
      <c r="M44" s="789"/>
    </row>
    <row r="45" spans="1:13">
      <c r="A45" s="566" t="s">
        <v>761</v>
      </c>
      <c r="B45" s="569">
        <f>SUM(B13:B44)</f>
        <v>17437330</v>
      </c>
      <c r="C45" s="570">
        <f>SUM(C13:C15)</f>
        <v>30.577999999999999</v>
      </c>
      <c r="D45" s="569">
        <f>SUM(D13:D44)</f>
        <v>17711689</v>
      </c>
      <c r="E45" s="570">
        <f>SUM(E13:E15)</f>
        <v>30.605</v>
      </c>
      <c r="F45" s="569">
        <f>SUM(F13:F44)</f>
        <v>20198090</v>
      </c>
      <c r="G45" s="569">
        <f>SUM(G13:G44)</f>
        <v>2203824.3899999997</v>
      </c>
      <c r="H45" s="829">
        <f>SUM(H13:H15)</f>
        <v>33.604999999999997</v>
      </c>
      <c r="J45" s="528" t="e">
        <f>CONCATENATE("",#REF!," Ad Valorem Tax Revenue:")</f>
        <v>#REF!</v>
      </c>
      <c r="K45" s="522"/>
      <c r="L45" s="522"/>
      <c r="M45" s="523">
        <f>G45</f>
        <v>2203824.3899999997</v>
      </c>
    </row>
    <row r="46" spans="1:13">
      <c r="A46" s="91" t="s">
        <v>306</v>
      </c>
      <c r="B46" s="486">
        <f>transfers!$C$41</f>
        <v>3283888</v>
      </c>
      <c r="C46" s="558"/>
      <c r="D46" s="486">
        <f>transfers!$D$41</f>
        <v>3053013</v>
      </c>
      <c r="E46" s="558"/>
      <c r="F46" s="486">
        <f>transfers!$E$41</f>
        <v>3610474</v>
      </c>
      <c r="G46" s="487"/>
      <c r="H46" s="830"/>
      <c r="I46" s="488"/>
      <c r="J46" s="528" t="e">
        <f>CONCATENATE("",#REF!-1," Ad Valorem Tax Revenue:")</f>
        <v>#REF!</v>
      </c>
      <c r="K46" s="522"/>
      <c r="L46" s="522"/>
      <c r="M46" s="536">
        <f>ROUND(F50*M33/1000,0)</f>
        <v>2007084</v>
      </c>
    </row>
    <row r="47" spans="1:13" ht="16.5" thickBot="1">
      <c r="A47" s="91" t="s">
        <v>307</v>
      </c>
      <c r="B47" s="305">
        <f>B45-B46</f>
        <v>14153442</v>
      </c>
      <c r="C47" s="173"/>
      <c r="D47" s="305">
        <f>D45-D46</f>
        <v>14658676</v>
      </c>
      <c r="E47" s="485"/>
      <c r="F47" s="305">
        <f>F45-F46</f>
        <v>16587616</v>
      </c>
      <c r="G47" s="84"/>
      <c r="H47" s="831"/>
      <c r="J47" s="533" t="s">
        <v>752</v>
      </c>
      <c r="K47" s="534"/>
      <c r="L47" s="534"/>
      <c r="M47" s="526">
        <f>SUM(M45-M46)</f>
        <v>196740.38999999966</v>
      </c>
    </row>
    <row r="48" spans="1:13" ht="16.5" thickTop="1">
      <c r="A48" s="91" t="s">
        <v>308</v>
      </c>
      <c r="B48" s="486">
        <f>inputPrYr!$E$99</f>
        <v>2034437</v>
      </c>
      <c r="C48" s="483"/>
      <c r="D48" s="486">
        <f>inputPrYr!$E$26</f>
        <v>2025736</v>
      </c>
      <c r="E48" s="483"/>
      <c r="F48" s="294" t="s">
        <v>272</v>
      </c>
      <c r="G48" s="487"/>
      <c r="H48" s="830"/>
      <c r="J48" s="527"/>
      <c r="K48" s="527"/>
      <c r="L48" s="527"/>
      <c r="M48" s="535"/>
    </row>
    <row r="49" spans="1:13">
      <c r="A49" s="91" t="s">
        <v>309</v>
      </c>
      <c r="B49" s="512"/>
      <c r="C49" s="173"/>
      <c r="D49" s="512"/>
      <c r="E49" s="173"/>
      <c r="F49" s="256"/>
      <c r="G49" s="357"/>
      <c r="H49" s="832"/>
      <c r="J49" s="934" t="s">
        <v>753</v>
      </c>
      <c r="K49" s="937"/>
      <c r="L49" s="937"/>
      <c r="M49" s="938"/>
    </row>
    <row r="50" spans="1:13">
      <c r="A50" s="91" t="s">
        <v>310</v>
      </c>
      <c r="B50" s="486">
        <f>inputPrYr!$E$100</f>
        <v>66531961</v>
      </c>
      <c r="C50" s="173"/>
      <c r="D50" s="486">
        <f>inputOth!$D$42</f>
        <v>66216245</v>
      </c>
      <c r="E50" s="173"/>
      <c r="F50" s="486">
        <f>inputOth!$B$14</f>
        <v>65580249</v>
      </c>
      <c r="G50" s="173"/>
      <c r="H50" s="832"/>
      <c r="J50" s="528"/>
      <c r="K50" s="522"/>
      <c r="L50" s="522"/>
      <c r="M50" s="529"/>
    </row>
    <row r="51" spans="1:13">
      <c r="A51" s="91" t="s">
        <v>311</v>
      </c>
      <c r="B51" s="84"/>
      <c r="C51" s="84"/>
      <c r="D51" s="84"/>
      <c r="E51" s="84"/>
      <c r="F51" s="84"/>
      <c r="G51" s="173"/>
      <c r="H51" s="832"/>
      <c r="J51" s="528" t="e">
        <f>CONCATENATE("Current ",#REF!," Estimated Mill Rate:")</f>
        <v>#REF!</v>
      </c>
      <c r="K51" s="522"/>
      <c r="L51" s="522"/>
      <c r="M51" s="530">
        <f>H45</f>
        <v>33.604999999999997</v>
      </c>
    </row>
    <row r="52" spans="1:13">
      <c r="A52" s="91" t="s">
        <v>312</v>
      </c>
      <c r="B52" s="295">
        <f>inputPrYr!D103</f>
        <v>2011</v>
      </c>
      <c r="C52" s="815"/>
      <c r="D52" s="295">
        <f>inputPrYr!E103</f>
        <v>2012</v>
      </c>
      <c r="E52" s="815"/>
      <c r="F52" s="295">
        <v>2013</v>
      </c>
      <c r="G52" s="173"/>
      <c r="H52" s="832"/>
      <c r="J52" s="528" t="e">
        <f>CONCATENATE("Desired ",#REF!," Mill Rate:")</f>
        <v>#REF!</v>
      </c>
      <c r="K52" s="522"/>
      <c r="L52" s="522"/>
      <c r="M52" s="537">
        <v>35</v>
      </c>
    </row>
    <row r="53" spans="1:13" ht="15.75" customHeight="1">
      <c r="A53" s="91" t="s">
        <v>313</v>
      </c>
      <c r="B53" s="303">
        <f>inputPrYr!$D$104</f>
        <v>19585000</v>
      </c>
      <c r="C53" s="173"/>
      <c r="D53" s="303">
        <f>inputPrYr!$E$104</f>
        <v>22570000</v>
      </c>
      <c r="E53" s="173"/>
      <c r="F53" s="303">
        <f>debt!$G$20</f>
        <v>20645000</v>
      </c>
      <c r="G53" s="84"/>
      <c r="H53" s="831"/>
      <c r="J53" s="528" t="e">
        <f>CONCATENATE("",#REF!," Ad Valorem Tax:")</f>
        <v>#REF!</v>
      </c>
      <c r="K53" s="522"/>
      <c r="L53" s="522"/>
      <c r="M53" s="536">
        <f>ROUND(F50*M52/1000,0)</f>
        <v>2295309</v>
      </c>
    </row>
    <row r="54" spans="1:13" ht="15.75" customHeight="1">
      <c r="A54" s="91" t="s">
        <v>314</v>
      </c>
      <c r="B54" s="486">
        <f>inputPrYr!$D$105</f>
        <v>0</v>
      </c>
      <c r="C54" s="173"/>
      <c r="D54" s="486">
        <f>inputPrYr!$E$105</f>
        <v>0</v>
      </c>
      <c r="E54" s="173"/>
      <c r="F54" s="303">
        <f>debt!$G$32</f>
        <v>0</v>
      </c>
      <c r="G54" s="84"/>
      <c r="H54" s="831"/>
      <c r="J54" s="533" t="e">
        <f>CONCATENATE("",#REF!," Tax Levy Fund Exp. Changed By:")</f>
        <v>#REF!</v>
      </c>
      <c r="K54" s="534"/>
      <c r="L54" s="534"/>
      <c r="M54" s="526">
        <f>IF(M52=0,0,(M53-G45))</f>
        <v>91484.610000000335</v>
      </c>
    </row>
    <row r="55" spans="1:13" ht="15.75" customHeight="1">
      <c r="A55" s="84" t="s">
        <v>332</v>
      </c>
      <c r="B55" s="486">
        <f>inputPrYr!$D$106</f>
        <v>4890000</v>
      </c>
      <c r="C55" s="173"/>
      <c r="D55" s="486">
        <f>inputPrYr!$E$106</f>
        <v>0</v>
      </c>
      <c r="E55" s="173"/>
      <c r="F55" s="303">
        <f>debt!$G$42</f>
        <v>1750000</v>
      </c>
      <c r="G55" s="84"/>
      <c r="H55" s="831"/>
    </row>
    <row r="56" spans="1:13" ht="15.75" customHeight="1">
      <c r="A56" s="91" t="s">
        <v>64</v>
      </c>
      <c r="B56" s="486">
        <f>inputPrYr!$D$107</f>
        <v>435560</v>
      </c>
      <c r="C56" s="173"/>
      <c r="D56" s="486">
        <f>inputPrYr!$E$107</f>
        <v>279147</v>
      </c>
      <c r="E56" s="173"/>
      <c r="F56" s="303">
        <f>lpform!$G$28</f>
        <v>115918</v>
      </c>
      <c r="G56" s="84"/>
      <c r="H56" s="831"/>
    </row>
    <row r="57" spans="1:13" ht="18.75" customHeight="1" thickBot="1">
      <c r="A57" s="91" t="s">
        <v>315</v>
      </c>
      <c r="B57" s="540">
        <f>SUM(B53:B56)</f>
        <v>24910560</v>
      </c>
      <c r="C57" s="173"/>
      <c r="D57" s="540">
        <f>SUM(D53:D56)</f>
        <v>22849147</v>
      </c>
      <c r="E57" s="173"/>
      <c r="F57" s="540">
        <f>SUM(F53:F56)</f>
        <v>22510918</v>
      </c>
      <c r="G57" s="84"/>
      <c r="H57" s="831"/>
    </row>
    <row r="58" spans="1:13" ht="18.75" customHeight="1" thickTop="1">
      <c r="A58" s="91" t="s">
        <v>316</v>
      </c>
      <c r="B58" s="84"/>
      <c r="C58" s="84"/>
      <c r="D58" s="84"/>
      <c r="E58" s="84"/>
      <c r="F58" s="84"/>
      <c r="G58" s="84"/>
      <c r="H58" s="831"/>
    </row>
    <row r="59" spans="1:13" ht="18" customHeight="1">
      <c r="A59" s="91"/>
      <c r="B59" s="113"/>
      <c r="C59" s="84"/>
      <c r="D59" s="84"/>
      <c r="E59" s="84"/>
      <c r="F59" s="84"/>
      <c r="G59" s="84"/>
      <c r="H59" s="831"/>
    </row>
    <row r="60" spans="1:13" ht="19.5" customHeight="1">
      <c r="A60" s="943" t="str">
        <f>inputBudSum!B3</f>
        <v>City of Bonner Springs</v>
      </c>
      <c r="B60" s="944"/>
      <c r="C60" s="559"/>
      <c r="D60" s="84"/>
      <c r="E60" s="84"/>
      <c r="F60" s="84"/>
      <c r="G60" s="84"/>
      <c r="H60" s="831"/>
    </row>
    <row r="61" spans="1:13" ht="18.75" customHeight="1">
      <c r="A61" s="942" t="str">
        <f>CONCATENATE("City Official Title: ",inputBudSum!B5,"")</f>
        <v>City Official Title: City Clerk</v>
      </c>
      <c r="B61" s="927"/>
      <c r="C61" s="113"/>
      <c r="D61" s="84"/>
      <c r="E61" s="84"/>
      <c r="F61" s="84"/>
      <c r="G61" s="84"/>
      <c r="H61" s="831"/>
    </row>
    <row r="62" spans="1:13">
      <c r="A62" s="228"/>
      <c r="B62" s="940"/>
      <c r="C62" s="941"/>
      <c r="D62" s="84"/>
      <c r="E62" s="84"/>
      <c r="F62" s="84"/>
      <c r="G62" s="84"/>
      <c r="H62" s="831"/>
    </row>
    <row r="63" spans="1:13">
      <c r="A63" s="939"/>
      <c r="B63" s="939"/>
      <c r="C63" s="197" t="s">
        <v>290</v>
      </c>
      <c r="D63" s="297">
        <v>27</v>
      </c>
      <c r="E63" s="84"/>
      <c r="F63" s="84"/>
      <c r="G63" s="84"/>
      <c r="H63" s="831"/>
    </row>
    <row r="64" spans="1:13">
      <c r="A64" s="568"/>
      <c r="B64" s="567"/>
      <c r="C64" s="559"/>
      <c r="D64" s="84"/>
      <c r="E64" s="84"/>
      <c r="F64" s="84"/>
      <c r="G64" s="84"/>
      <c r="H64" s="831"/>
    </row>
    <row r="65" spans="1:8">
      <c r="A65" s="84"/>
      <c r="B65" s="84"/>
      <c r="C65" s="84"/>
      <c r="D65" s="84"/>
      <c r="E65" s="84"/>
      <c r="F65" s="84"/>
      <c r="G65" s="84"/>
      <c r="H65" s="831"/>
    </row>
  </sheetData>
  <mergeCells count="13">
    <mergeCell ref="A6:G6"/>
    <mergeCell ref="A1:H1"/>
    <mergeCell ref="A3:H3"/>
    <mergeCell ref="A4:H4"/>
    <mergeCell ref="A5:H5"/>
    <mergeCell ref="A2:H2"/>
    <mergeCell ref="J27:M27"/>
    <mergeCell ref="J31:M31"/>
    <mergeCell ref="J49:M49"/>
    <mergeCell ref="A63:B63"/>
    <mergeCell ref="B62:C62"/>
    <mergeCell ref="A61:B61"/>
    <mergeCell ref="A60:B60"/>
  </mergeCells>
  <phoneticPr fontId="0" type="noConversion"/>
  <pageMargins left="0.5" right="0.5" top="1" bottom="0.5" header="0.5" footer="0.5"/>
  <pageSetup scale="61" orientation="portrait" blackAndWhite="1" horizontalDpi="120" verticalDpi="144" r:id="rId1"/>
  <headerFooter alignWithMargins="0">
    <oddHeader>&amp;RState of Kansas
City</oddHeader>
  </headerFooter>
</worksheet>
</file>

<file path=xl/worksheets/sheet35.xml><?xml version="1.0" encoding="utf-8"?>
<worksheet xmlns="http://schemas.openxmlformats.org/spreadsheetml/2006/main" xmlns:r="http://schemas.openxmlformats.org/officeDocument/2006/relationships">
  <sheetPr>
    <pageSetUpPr fitToPage="1"/>
  </sheetPr>
  <dimension ref="A1:F41"/>
  <sheetViews>
    <sheetView workbookViewId="0">
      <selection activeCell="C40" sqref="C40"/>
    </sheetView>
  </sheetViews>
  <sheetFormatPr defaultColWidth="8.88671875" defaultRowHeight="15"/>
  <cols>
    <col min="1" max="1" width="9.5546875" style="144" customWidth="1"/>
    <col min="2" max="2" width="18.21875" style="144" customWidth="1"/>
    <col min="3" max="3" width="11.77734375" style="144" customWidth="1"/>
    <col min="4" max="4" width="12.77734375" style="144" customWidth="1"/>
    <col min="5" max="5" width="11.77734375" style="144" customWidth="1"/>
    <col min="6" max="16384" width="8.88671875" style="144"/>
  </cols>
  <sheetData>
    <row r="1" spans="1:6" ht="15.75">
      <c r="A1" s="253" t="str">
        <f>inputPrYr!D3</f>
        <v>City of Bonner Springs</v>
      </c>
      <c r="B1" s="84"/>
      <c r="C1" s="84"/>
      <c r="D1" s="84"/>
      <c r="E1" s="84"/>
      <c r="F1" s="84">
        <f>inputPrYr!C10</f>
        <v>2014</v>
      </c>
    </row>
    <row r="2" spans="1:6" ht="15.75">
      <c r="A2" s="84"/>
      <c r="B2" s="84"/>
      <c r="C2" s="84"/>
      <c r="D2" s="84"/>
      <c r="E2" s="84"/>
      <c r="F2" s="84"/>
    </row>
    <row r="3" spans="1:6" ht="15.75">
      <c r="A3" s="84"/>
      <c r="B3" s="901" t="str">
        <f>CONCATENATE("",F1," Neighborhood Revitalization Rebate")</f>
        <v>2014 Neighborhood Revitalization Rebate</v>
      </c>
      <c r="C3" s="947"/>
      <c r="D3" s="947"/>
      <c r="E3" s="947"/>
      <c r="F3" s="84"/>
    </row>
    <row r="4" spans="1:6" ht="15.75">
      <c r="A4" s="84"/>
      <c r="B4" s="84"/>
      <c r="C4" s="84"/>
      <c r="D4" s="84"/>
      <c r="E4" s="84"/>
      <c r="F4" s="84"/>
    </row>
    <row r="5" spans="1:6" ht="51" customHeight="1">
      <c r="A5" s="84"/>
      <c r="B5" s="298" t="str">
        <f>CONCATENATE("Budgeted Funds                     for ",F1,"")</f>
        <v>Budgeted Funds                     for 2014</v>
      </c>
      <c r="C5" s="298" t="str">
        <f>CONCATENATE("",F1-1," Ad Valorem before Rebate**")</f>
        <v>2013 Ad Valorem before Rebate**</v>
      </c>
      <c r="D5" s="299" t="str">
        <f>CONCATENATE("",F1-1," Mil Rate before Rebate")</f>
        <v>2013 Mil Rate before Rebate</v>
      </c>
      <c r="E5" s="300" t="str">
        <f>CONCATENATE("Estimate ",F1," NR Rebate")</f>
        <v>Estimate 2014 NR Rebate</v>
      </c>
      <c r="F5" s="137"/>
    </row>
    <row r="6" spans="1:6" ht="15.75">
      <c r="A6" s="84"/>
      <c r="B6" s="104" t="str">
        <f>inputPrYr!B22</f>
        <v>General</v>
      </c>
      <c r="C6" s="301"/>
      <c r="D6" s="302" t="str">
        <f>IF(C6&gt;0,C6/$D$24,"")</f>
        <v/>
      </c>
      <c r="E6" s="303" t="str">
        <f t="shared" ref="E6:E17" si="0">IF(C6&gt;0,ROUND(D6*$D$28,0),"")</f>
        <v/>
      </c>
      <c r="F6" s="137"/>
    </row>
    <row r="7" spans="1:6" ht="15.75">
      <c r="A7" s="84"/>
      <c r="B7" s="104" t="str">
        <f>inputPrYr!B23</f>
        <v>Debt Service</v>
      </c>
      <c r="C7" s="301"/>
      <c r="D7" s="302" t="str">
        <f t="shared" ref="D7:D17" si="1">IF(C7&gt;0,C7/$D$24,"")</f>
        <v/>
      </c>
      <c r="E7" s="303" t="str">
        <f t="shared" si="0"/>
        <v/>
      </c>
      <c r="F7" s="137"/>
    </row>
    <row r="8" spans="1:6" ht="15.75">
      <c r="A8" s="84"/>
      <c r="B8" s="124" t="str">
        <f>inputPrYr!B24</f>
        <v>Library</v>
      </c>
      <c r="C8" s="301"/>
      <c r="D8" s="302" t="str">
        <f t="shared" si="1"/>
        <v/>
      </c>
      <c r="E8" s="303" t="str">
        <f t="shared" si="0"/>
        <v/>
      </c>
      <c r="F8" s="137"/>
    </row>
    <row r="9" spans="1:6" ht="15.75">
      <c r="A9" s="84"/>
      <c r="B9" s="124" t="e">
        <f>inputPrYr!#REF!</f>
        <v>#REF!</v>
      </c>
      <c r="C9" s="301"/>
      <c r="D9" s="302" t="str">
        <f t="shared" si="1"/>
        <v/>
      </c>
      <c r="E9" s="303" t="str">
        <f t="shared" si="0"/>
        <v/>
      </c>
      <c r="F9" s="137"/>
    </row>
    <row r="10" spans="1:6" ht="15.75">
      <c r="A10" s="84"/>
      <c r="B10" s="124" t="e">
        <f>inputPrYr!#REF!</f>
        <v>#REF!</v>
      </c>
      <c r="C10" s="301"/>
      <c r="D10" s="302" t="str">
        <f t="shared" si="1"/>
        <v/>
      </c>
      <c r="E10" s="303" t="str">
        <f t="shared" si="0"/>
        <v/>
      </c>
      <c r="F10" s="137"/>
    </row>
    <row r="11" spans="1:6" ht="15.75">
      <c r="A11" s="84"/>
      <c r="B11" s="124" t="e">
        <f>inputPrYr!#REF!</f>
        <v>#REF!</v>
      </c>
      <c r="C11" s="301"/>
      <c r="D11" s="302" t="str">
        <f t="shared" si="1"/>
        <v/>
      </c>
      <c r="E11" s="303" t="str">
        <f t="shared" si="0"/>
        <v/>
      </c>
      <c r="F11" s="137"/>
    </row>
    <row r="12" spans="1:6" ht="15.75">
      <c r="A12" s="84"/>
      <c r="B12" s="124" t="e">
        <f>inputPrYr!#REF!</f>
        <v>#REF!</v>
      </c>
      <c r="C12" s="304"/>
      <c r="D12" s="302" t="str">
        <f t="shared" si="1"/>
        <v/>
      </c>
      <c r="E12" s="303" t="str">
        <f t="shared" si="0"/>
        <v/>
      </c>
      <c r="F12" s="137"/>
    </row>
    <row r="13" spans="1:6" ht="15.75">
      <c r="A13" s="84"/>
      <c r="B13" s="124" t="e">
        <f>inputPrYr!#REF!</f>
        <v>#REF!</v>
      </c>
      <c r="C13" s="304"/>
      <c r="D13" s="302" t="str">
        <f t="shared" si="1"/>
        <v/>
      </c>
      <c r="E13" s="303" t="str">
        <f t="shared" si="0"/>
        <v/>
      </c>
      <c r="F13" s="137"/>
    </row>
    <row r="14" spans="1:6" ht="15.75">
      <c r="A14" s="84"/>
      <c r="B14" s="124" t="e">
        <f>inputPrYr!#REF!</f>
        <v>#REF!</v>
      </c>
      <c r="C14" s="304"/>
      <c r="D14" s="302" t="str">
        <f t="shared" si="1"/>
        <v/>
      </c>
      <c r="E14" s="303" t="str">
        <f t="shared" si="0"/>
        <v/>
      </c>
      <c r="F14" s="137"/>
    </row>
    <row r="15" spans="1:6" ht="15.75">
      <c r="A15" s="84"/>
      <c r="B15" s="124" t="e">
        <f>inputPrYr!#REF!</f>
        <v>#REF!</v>
      </c>
      <c r="C15" s="304"/>
      <c r="D15" s="302" t="str">
        <f t="shared" si="1"/>
        <v/>
      </c>
      <c r="E15" s="303" t="str">
        <f t="shared" si="0"/>
        <v/>
      </c>
      <c r="F15" s="137"/>
    </row>
    <row r="16" spans="1:6" ht="15.75">
      <c r="A16" s="84"/>
      <c r="B16" s="124" t="e">
        <f>inputPrYr!#REF!</f>
        <v>#REF!</v>
      </c>
      <c r="C16" s="304"/>
      <c r="D16" s="302" t="str">
        <f t="shared" si="1"/>
        <v/>
      </c>
      <c r="E16" s="303" t="str">
        <f t="shared" si="0"/>
        <v/>
      </c>
      <c r="F16" s="137"/>
    </row>
    <row r="17" spans="1:6" ht="15.75">
      <c r="A17" s="84"/>
      <c r="B17" s="124" t="e">
        <f>inputPrYr!#REF!</f>
        <v>#REF!</v>
      </c>
      <c r="C17" s="304"/>
      <c r="D17" s="302" t="str">
        <f t="shared" si="1"/>
        <v/>
      </c>
      <c r="E17" s="303" t="str">
        <f t="shared" si="0"/>
        <v/>
      </c>
      <c r="F17" s="137"/>
    </row>
    <row r="18" spans="1:6" ht="15.75">
      <c r="A18" s="84"/>
      <c r="B18" s="124" t="e">
        <f>inputPrYr!#REF!</f>
        <v>#REF!</v>
      </c>
      <c r="C18" s="304"/>
      <c r="D18" s="302" t="str">
        <f>IF(C18&gt;0,C18/$D$24,"")</f>
        <v/>
      </c>
      <c r="E18" s="303" t="str">
        <f>IF(C18&gt;0,ROUND(D18*$D$28,0),"")</f>
        <v/>
      </c>
      <c r="F18" s="137"/>
    </row>
    <row r="19" spans="1:6" ht="16.5" thickBot="1">
      <c r="A19" s="84"/>
      <c r="B19" s="105" t="s">
        <v>277</v>
      </c>
      <c r="C19" s="305">
        <f>SUM(C6:C18)</f>
        <v>0</v>
      </c>
      <c r="D19" s="306">
        <f>SUM(D6:D18)</f>
        <v>0</v>
      </c>
      <c r="E19" s="305">
        <f>SUM(E6:E18)</f>
        <v>0</v>
      </c>
      <c r="F19" s="137"/>
    </row>
    <row r="20" spans="1:6" ht="16.5" thickTop="1">
      <c r="A20" s="84"/>
      <c r="B20" s="84"/>
      <c r="C20" s="84"/>
      <c r="D20" s="84"/>
      <c r="E20" s="84"/>
      <c r="F20" s="137"/>
    </row>
    <row r="21" spans="1:6" ht="15.75">
      <c r="A21" s="84"/>
      <c r="B21" s="84"/>
      <c r="C21" s="84"/>
      <c r="D21" s="84"/>
      <c r="E21" s="84"/>
      <c r="F21" s="137"/>
    </row>
    <row r="22" spans="1:6" ht="15.75">
      <c r="A22" s="948" t="str">
        <f>CONCATENATE("",F1-1," July 1 Valuation:")</f>
        <v>2013 July 1 Valuation:</v>
      </c>
      <c r="B22" s="912"/>
      <c r="C22" s="948"/>
      <c r="D22" s="296">
        <f>inputOth!B14</f>
        <v>65580249</v>
      </c>
      <c r="E22" s="84"/>
      <c r="F22" s="137"/>
    </row>
    <row r="23" spans="1:6" ht="15.75">
      <c r="A23" s="84"/>
      <c r="B23" s="84"/>
      <c r="C23" s="84"/>
      <c r="D23" s="84"/>
      <c r="E23" s="84"/>
      <c r="F23" s="137"/>
    </row>
    <row r="24" spans="1:6" ht="15.75">
      <c r="A24" s="84"/>
      <c r="B24" s="948" t="s">
        <v>352</v>
      </c>
      <c r="C24" s="948"/>
      <c r="D24" s="307">
        <f>IF(D22&gt;0,(D22*0.001),"")</f>
        <v>65580.248999999996</v>
      </c>
      <c r="E24" s="84"/>
      <c r="F24" s="137"/>
    </row>
    <row r="25" spans="1:6" ht="15.75">
      <c r="A25" s="84"/>
      <c r="B25" s="197"/>
      <c r="C25" s="197"/>
      <c r="D25" s="308"/>
      <c r="E25" s="84"/>
      <c r="F25" s="137"/>
    </row>
    <row r="26" spans="1:6" ht="15.75">
      <c r="A26" s="946" t="s">
        <v>353</v>
      </c>
      <c r="B26" s="862"/>
      <c r="C26" s="862"/>
      <c r="D26" s="309">
        <f>inputOth!E25</f>
        <v>0</v>
      </c>
      <c r="E26" s="107"/>
      <c r="F26" s="107"/>
    </row>
    <row r="27" spans="1:6">
      <c r="A27" s="107"/>
      <c r="B27" s="107"/>
      <c r="C27" s="107"/>
      <c r="D27" s="310"/>
      <c r="E27" s="107"/>
      <c r="F27" s="107"/>
    </row>
    <row r="28" spans="1:6" ht="15.75">
      <c r="A28" s="107"/>
      <c r="B28" s="946" t="s">
        <v>354</v>
      </c>
      <c r="C28" s="912"/>
      <c r="D28" s="311" t="str">
        <f>IF(D26&gt;0,(D26*0.001),"")</f>
        <v/>
      </c>
      <c r="E28" s="107"/>
      <c r="F28" s="107"/>
    </row>
    <row r="29" spans="1:6">
      <c r="A29" s="107"/>
      <c r="B29" s="107"/>
      <c r="C29" s="107"/>
      <c r="D29" s="107"/>
      <c r="E29" s="107"/>
      <c r="F29" s="107"/>
    </row>
    <row r="30" spans="1:6">
      <c r="A30" s="107"/>
      <c r="B30" s="107"/>
      <c r="C30" s="107"/>
      <c r="D30" s="107"/>
      <c r="E30" s="107"/>
      <c r="F30" s="107"/>
    </row>
    <row r="31" spans="1:6">
      <c r="A31" s="107"/>
      <c r="B31" s="107"/>
      <c r="C31" s="107"/>
      <c r="D31" s="107"/>
      <c r="E31" s="107"/>
      <c r="F31" s="107"/>
    </row>
    <row r="32" spans="1:6" ht="15.75">
      <c r="A32" s="425" t="str">
        <f>CONCATENATE("**This information comes from the ",F1," Budget Summary page.  See instructions tab #13 for completing")</f>
        <v>**This information comes from the 2014 Budget Summary page.  See instructions tab #13 for completing</v>
      </c>
      <c r="B32" s="107"/>
      <c r="C32" s="107"/>
      <c r="D32" s="107"/>
      <c r="E32" s="107"/>
      <c r="F32" s="107"/>
    </row>
    <row r="33" spans="1:6" ht="15.75">
      <c r="A33" s="425" t="s">
        <v>639</v>
      </c>
      <c r="B33" s="107"/>
      <c r="C33" s="107"/>
      <c r="D33" s="107"/>
      <c r="E33" s="107"/>
      <c r="F33" s="107"/>
    </row>
    <row r="34" spans="1:6" ht="15.75">
      <c r="A34" s="425"/>
      <c r="B34" s="107"/>
      <c r="C34" s="107"/>
      <c r="D34" s="107"/>
      <c r="E34" s="107"/>
      <c r="F34" s="107"/>
    </row>
    <row r="35" spans="1:6" ht="15.75">
      <c r="A35" s="425"/>
      <c r="B35" s="107"/>
      <c r="C35" s="107"/>
      <c r="D35" s="107"/>
      <c r="E35" s="107"/>
      <c r="F35" s="107"/>
    </row>
    <row r="36" spans="1:6" ht="15.75">
      <c r="A36" s="425"/>
      <c r="B36" s="107"/>
      <c r="C36" s="107"/>
      <c r="D36" s="107"/>
      <c r="E36" s="107"/>
      <c r="F36" s="107"/>
    </row>
    <row r="37" spans="1:6" ht="15.75">
      <c r="A37" s="425"/>
      <c r="B37" s="107"/>
      <c r="C37" s="107"/>
      <c r="D37" s="107"/>
      <c r="E37" s="107"/>
      <c r="F37" s="107"/>
    </row>
    <row r="38" spans="1:6" ht="15.75">
      <c r="A38" s="425"/>
      <c r="B38" s="107"/>
      <c r="C38" s="107"/>
      <c r="D38" s="107"/>
      <c r="E38" s="107"/>
      <c r="F38" s="107"/>
    </row>
    <row r="39" spans="1:6">
      <c r="A39" s="107"/>
      <c r="B39" s="107"/>
      <c r="C39" s="107"/>
      <c r="D39" s="107"/>
      <c r="E39" s="107"/>
      <c r="F39" s="107"/>
    </row>
    <row r="40" spans="1:6" ht="15.75">
      <c r="A40" s="107"/>
      <c r="B40" s="243" t="s">
        <v>298</v>
      </c>
      <c r="C40" s="297"/>
      <c r="D40" s="107"/>
      <c r="E40" s="107"/>
      <c r="F40" s="107"/>
    </row>
    <row r="41" spans="1:6" ht="15.75">
      <c r="A41" s="137"/>
      <c r="B41" s="84"/>
      <c r="C41" s="84"/>
      <c r="D41" s="312"/>
      <c r="E41" s="137"/>
      <c r="F41" s="137"/>
    </row>
  </sheetData>
  <sheetProtection sheet="1"/>
  <mergeCells count="5">
    <mergeCell ref="B28:C28"/>
    <mergeCell ref="B3:E3"/>
    <mergeCell ref="A22:C22"/>
    <mergeCell ref="B24:C24"/>
    <mergeCell ref="A26:C26"/>
  </mergeCells>
  <phoneticPr fontId="9" type="noConversion"/>
  <pageMargins left="0.75" right="0.75" top="1" bottom="1" header="0.5" footer="0.5"/>
  <pageSetup scale="91" orientation="portrait" blackAndWhite="1" r:id="rId1"/>
  <headerFooter alignWithMargins="0">
    <oddHeader>&amp;RState of Kansas
City</oddHeader>
  </headerFooter>
</worksheet>
</file>

<file path=xl/worksheets/sheet36.xml><?xml version="1.0" encoding="utf-8"?>
<worksheet xmlns="http://schemas.openxmlformats.org/spreadsheetml/2006/main" xmlns:r="http://schemas.openxmlformats.org/officeDocument/2006/relationships">
  <dimension ref="A1:N40"/>
  <sheetViews>
    <sheetView topLeftCell="A17" workbookViewId="0">
      <selection sqref="A1:G1"/>
    </sheetView>
  </sheetViews>
  <sheetFormatPr defaultColWidth="8.88671875" defaultRowHeight="15.75"/>
  <cols>
    <col min="1" max="16384" width="8.88671875" style="1"/>
  </cols>
  <sheetData>
    <row r="1" spans="1:14" ht="16.5" customHeight="1">
      <c r="A1" s="952" t="s">
        <v>66</v>
      </c>
      <c r="B1" s="952"/>
      <c r="C1" s="952"/>
      <c r="D1" s="952"/>
      <c r="E1" s="952"/>
      <c r="F1" s="952"/>
      <c r="G1" s="952"/>
    </row>
    <row r="2" spans="1:14" ht="16.5" customHeight="1">
      <c r="A2" s="952"/>
      <c r="B2" s="952"/>
      <c r="C2" s="952"/>
      <c r="D2" s="952"/>
      <c r="E2" s="952"/>
      <c r="F2" s="952"/>
      <c r="G2" s="952"/>
    </row>
    <row r="3" spans="1:14" ht="16.5" customHeight="1">
      <c r="A3" s="953"/>
      <c r="B3" s="953"/>
      <c r="C3" s="953"/>
      <c r="D3" s="953"/>
      <c r="E3" s="953"/>
      <c r="F3" s="953"/>
      <c r="G3" s="953"/>
    </row>
    <row r="4" spans="1:14" ht="16.5" customHeight="1">
      <c r="A4" s="950" t="str">
        <f>CONCATENATE("AN ORDINANCE ATTESTING TO AN INCREASE IN TAX REVENUES FOR BUDGET YEAR ",inputPrYr!C10," FOR THE ",(inputPrYr!$D$3))</f>
        <v>AN ORDINANCE ATTESTING TO AN INCREASE IN TAX REVENUES FOR BUDGET YEAR 2014 FOR THE City of Bonner Springs</v>
      </c>
      <c r="B4" s="950"/>
      <c r="C4" s="950"/>
      <c r="D4" s="950"/>
      <c r="E4" s="950"/>
      <c r="F4" s="950"/>
      <c r="G4" s="950"/>
    </row>
    <row r="5" spans="1:14" ht="16.5" customHeight="1">
      <c r="A5" s="950"/>
      <c r="B5" s="950"/>
      <c r="C5" s="950"/>
      <c r="D5" s="950"/>
      <c r="E5" s="950"/>
      <c r="F5" s="950"/>
      <c r="G5" s="950"/>
    </row>
    <row r="6" spans="1:14" ht="16.5" customHeight="1">
      <c r="A6" s="952"/>
      <c r="B6" s="952"/>
      <c r="C6" s="952"/>
      <c r="D6" s="952"/>
      <c r="E6" s="952"/>
      <c r="F6" s="952"/>
      <c r="G6" s="952"/>
    </row>
    <row r="7" spans="1:14" ht="16.5" customHeight="1">
      <c r="A7" s="950" t="str">
        <f>CONCATENATE("WHEREAS, the ",(inputPrYr!$D$3)," must continue to provide services to protect the health, safety, and welfare of the citizens of this community; and")</f>
        <v>WHEREAS, the City of Bonner Springs must continue to provide services to protect the health, safety, and welfare of the citizens of this community; and</v>
      </c>
      <c r="B7" s="950"/>
      <c r="C7" s="950"/>
      <c r="D7" s="950"/>
      <c r="E7" s="950"/>
      <c r="F7" s="950"/>
      <c r="G7" s="950"/>
      <c r="H7" s="51"/>
      <c r="I7" s="51"/>
      <c r="J7" s="51"/>
      <c r="K7" s="51"/>
      <c r="L7" s="51"/>
      <c r="M7" s="51"/>
      <c r="N7" s="51"/>
    </row>
    <row r="8" spans="1:14" ht="16.5" customHeight="1">
      <c r="A8" s="950"/>
      <c r="B8" s="950"/>
      <c r="C8" s="950"/>
      <c r="D8" s="950"/>
      <c r="E8" s="950"/>
      <c r="F8" s="950"/>
      <c r="G8" s="950"/>
      <c r="H8" s="51"/>
      <c r="I8" s="51"/>
      <c r="J8" s="51"/>
      <c r="K8" s="51"/>
      <c r="L8" s="51"/>
      <c r="M8" s="51"/>
      <c r="N8" s="51"/>
    </row>
    <row r="9" spans="1:14" ht="16.5" customHeight="1">
      <c r="A9" s="52"/>
      <c r="B9" s="52"/>
      <c r="C9" s="52"/>
      <c r="D9" s="52"/>
      <c r="E9" s="52"/>
      <c r="F9" s="52"/>
      <c r="G9" s="52"/>
    </row>
    <row r="10" spans="1:14" ht="16.5" customHeight="1">
      <c r="A10" s="950" t="s">
        <v>67</v>
      </c>
      <c r="B10" s="950"/>
      <c r="C10" s="950"/>
      <c r="D10" s="950"/>
      <c r="E10" s="950"/>
      <c r="F10" s="950"/>
      <c r="G10" s="950"/>
    </row>
    <row r="11" spans="1:14" ht="16.5" customHeight="1">
      <c r="A11" s="950"/>
      <c r="B11" s="950"/>
      <c r="C11" s="950"/>
      <c r="D11" s="950"/>
      <c r="E11" s="950"/>
      <c r="F11" s="950"/>
      <c r="G11" s="950"/>
    </row>
    <row r="12" spans="1:14" ht="16.5" customHeight="1">
      <c r="A12" s="52"/>
      <c r="B12" s="52"/>
      <c r="C12" s="52"/>
      <c r="D12" s="52"/>
      <c r="E12" s="52"/>
      <c r="F12" s="52"/>
      <c r="G12" s="52"/>
    </row>
    <row r="13" spans="1:14" ht="16.5" customHeight="1">
      <c r="A13" s="950" t="str">
        <f>CONCATENATE("NOW THEREFORE, be it ordained by the Governing Body of the ",(inputPrYr!$D$3),":")</f>
        <v>NOW THEREFORE, be it ordained by the Governing Body of the City of Bonner Springs:</v>
      </c>
      <c r="B13" s="950"/>
      <c r="C13" s="950"/>
      <c r="D13" s="950"/>
      <c r="E13" s="950"/>
      <c r="F13" s="950"/>
      <c r="G13" s="950"/>
      <c r="H13" s="51"/>
      <c r="I13" s="51"/>
      <c r="J13" s="51"/>
      <c r="K13" s="51"/>
      <c r="L13" s="51"/>
      <c r="M13" s="51"/>
      <c r="N13" s="51"/>
    </row>
    <row r="14" spans="1:14" ht="16.5" customHeight="1">
      <c r="A14" s="950"/>
      <c r="B14" s="950"/>
      <c r="C14" s="950"/>
      <c r="D14" s="950"/>
      <c r="E14" s="950"/>
      <c r="F14" s="950"/>
      <c r="G14" s="950"/>
      <c r="H14" s="51"/>
      <c r="I14" s="51"/>
      <c r="J14" s="51"/>
      <c r="K14" s="51"/>
      <c r="L14" s="51"/>
      <c r="M14" s="51"/>
      <c r="N14" s="51"/>
    </row>
    <row r="15" spans="1:14" ht="16.5" customHeight="1">
      <c r="A15" s="950" t="str">
        <f>CONCATENATE("Section One.  In accordance with state law, the ",(inputPrYr!$D$3),"  has scheduled a public hearing and has prepared the proposed budget necessary to fund city services from January 1, ",inputPrYr!C10," until December 31, ",inputPrYr!C10,".")</f>
        <v>Section One.  In accordance with state law, the City of Bonner Springs  has scheduled a public hearing and has prepared the proposed budget necessary to fund city services from January 1, 2014 until December 31, 2014.</v>
      </c>
      <c r="B15" s="950"/>
      <c r="C15" s="950"/>
      <c r="D15" s="950"/>
      <c r="E15" s="950"/>
      <c r="F15" s="950"/>
      <c r="G15" s="950"/>
      <c r="H15" s="51"/>
      <c r="I15" s="51"/>
      <c r="J15" s="51"/>
      <c r="K15" s="51"/>
      <c r="L15" s="51"/>
      <c r="M15" s="51"/>
      <c r="N15" s="51"/>
    </row>
    <row r="16" spans="1:14" ht="16.5" customHeight="1">
      <c r="A16" s="950"/>
      <c r="B16" s="950"/>
      <c r="C16" s="950"/>
      <c r="D16" s="950"/>
      <c r="E16" s="950"/>
      <c r="F16" s="950"/>
      <c r="G16" s="950"/>
      <c r="H16" s="51"/>
      <c r="I16" s="51"/>
      <c r="J16" s="51"/>
      <c r="K16" s="51"/>
      <c r="L16" s="51"/>
      <c r="M16" s="51"/>
      <c r="N16" s="51"/>
    </row>
    <row r="17" spans="1:14" ht="16.5" customHeight="1">
      <c r="A17" s="950"/>
      <c r="B17" s="950"/>
      <c r="C17" s="950"/>
      <c r="D17" s="950"/>
      <c r="E17" s="950"/>
      <c r="F17" s="950"/>
      <c r="G17" s="950"/>
      <c r="H17" s="51"/>
      <c r="I17" s="51"/>
      <c r="J17" s="51"/>
      <c r="K17" s="51"/>
      <c r="L17" s="51"/>
      <c r="M17" s="51"/>
      <c r="N17" s="51"/>
    </row>
    <row r="18" spans="1:14" ht="16.5" customHeight="1">
      <c r="A18" s="51"/>
      <c r="B18" s="51"/>
      <c r="C18" s="51"/>
      <c r="D18" s="51"/>
      <c r="E18" s="51"/>
      <c r="F18" s="51"/>
      <c r="G18" s="51"/>
    </row>
    <row r="19" spans="1:14" ht="16.5" customHeight="1">
      <c r="A19" s="951" t="s">
        <v>117</v>
      </c>
      <c r="B19" s="951"/>
      <c r="C19" s="951"/>
      <c r="D19" s="951"/>
      <c r="E19" s="951"/>
      <c r="F19" s="951"/>
      <c r="G19" s="951"/>
    </row>
    <row r="20" spans="1:14" ht="16.5" customHeight="1">
      <c r="A20" s="951" t="s">
        <v>118</v>
      </c>
      <c r="B20" s="951"/>
      <c r="C20" s="951"/>
      <c r="D20" s="951"/>
      <c r="E20" s="951"/>
      <c r="F20" s="951"/>
      <c r="G20" s="951"/>
    </row>
    <row r="21" spans="1:14" ht="16.5" customHeight="1">
      <c r="A21" s="951" t="str">
        <f>CONCATENATE("necessary to budget property tax revenues in an amount exceeding the levy in the ",inputPrYr!C10-1,"")</f>
        <v>necessary to budget property tax revenues in an amount exceeding the levy in the 2013</v>
      </c>
      <c r="B21" s="951"/>
      <c r="C21" s="951"/>
      <c r="D21" s="951"/>
      <c r="E21" s="951"/>
      <c r="F21" s="951"/>
      <c r="G21" s="951"/>
    </row>
    <row r="22" spans="1:14" ht="16.5" customHeight="1">
      <c r="A22" s="53" t="s">
        <v>119</v>
      </c>
      <c r="B22" s="53"/>
      <c r="C22" s="53"/>
      <c r="D22" s="53"/>
      <c r="E22" s="53"/>
      <c r="F22" s="53"/>
      <c r="G22" s="53"/>
    </row>
    <row r="23" spans="1:14" ht="16.5" customHeight="1">
      <c r="A23" s="51"/>
      <c r="B23" s="51"/>
      <c r="C23" s="51"/>
      <c r="D23" s="51"/>
      <c r="E23" s="51"/>
      <c r="F23" s="51"/>
      <c r="G23" s="51"/>
    </row>
    <row r="24" spans="1:14" ht="16.5" customHeight="1">
      <c r="A24" s="950" t="s">
        <v>68</v>
      </c>
      <c r="B24" s="950"/>
      <c r="C24" s="950"/>
      <c r="D24" s="950"/>
      <c r="E24" s="950"/>
      <c r="F24" s="950"/>
      <c r="G24" s="950"/>
    </row>
    <row r="25" spans="1:14" ht="16.5" customHeight="1">
      <c r="A25" s="950"/>
      <c r="B25" s="950"/>
      <c r="C25" s="950"/>
      <c r="D25" s="950"/>
      <c r="E25" s="950"/>
      <c r="F25" s="950"/>
      <c r="G25" s="950"/>
    </row>
    <row r="26" spans="1:14" ht="16.5" customHeight="1">
      <c r="A26" s="51"/>
      <c r="B26" s="51"/>
      <c r="C26" s="51"/>
      <c r="D26" s="51"/>
      <c r="E26" s="51"/>
      <c r="F26" s="51"/>
      <c r="G26" s="51"/>
    </row>
    <row r="27" spans="1:14" ht="16.5" customHeight="1">
      <c r="A27" s="950" t="str">
        <f>CONCATENATE("Passed and approved by the Governing Body on this ______ day of __________, ",inputPrYr!C10-1,".")</f>
        <v>Passed and approved by the Governing Body on this ______ day of __________, 2013.</v>
      </c>
      <c r="B27" s="950"/>
      <c r="C27" s="950"/>
      <c r="D27" s="950"/>
      <c r="E27" s="950"/>
      <c r="F27" s="950"/>
      <c r="G27" s="950"/>
    </row>
    <row r="28" spans="1:14" ht="16.5" customHeight="1">
      <c r="A28" s="950"/>
      <c r="B28" s="950"/>
      <c r="C28" s="950"/>
      <c r="D28" s="950"/>
      <c r="E28" s="950"/>
      <c r="F28" s="950"/>
      <c r="G28" s="950"/>
    </row>
    <row r="29" spans="1:14" ht="16.5" customHeight="1"/>
    <row r="30" spans="1:14" ht="16.5" customHeight="1">
      <c r="A30" s="949" t="s">
        <v>69</v>
      </c>
      <c r="B30" s="949"/>
      <c r="C30" s="949"/>
      <c r="D30" s="949"/>
      <c r="E30" s="949"/>
      <c r="F30" s="949"/>
      <c r="G30" s="949"/>
    </row>
    <row r="31" spans="1:14" ht="16.5" customHeight="1">
      <c r="A31" s="949" t="s">
        <v>74</v>
      </c>
      <c r="B31" s="949"/>
      <c r="C31" s="949"/>
      <c r="D31" s="949"/>
      <c r="E31" s="949"/>
      <c r="F31" s="949"/>
      <c r="G31" s="949"/>
    </row>
    <row r="32" spans="1:14" ht="16.5" customHeight="1">
      <c r="A32" s="1" t="s">
        <v>70</v>
      </c>
    </row>
    <row r="33" spans="1:2" ht="16.5" customHeight="1">
      <c r="B33" s="1" t="s">
        <v>71</v>
      </c>
    </row>
    <row r="34" spans="1:2" ht="16.5" customHeight="1"/>
    <row r="35" spans="1:2" ht="16.5" customHeight="1"/>
    <row r="36" spans="1:2" ht="16.5" customHeight="1">
      <c r="A36" s="1" t="s">
        <v>72</v>
      </c>
    </row>
    <row r="37" spans="1:2" ht="16.5" customHeight="1"/>
    <row r="38" spans="1:2" ht="16.5" customHeight="1"/>
    <row r="39" spans="1:2" ht="16.5" customHeight="1"/>
    <row r="40" spans="1:2" ht="16.5" customHeight="1">
      <c r="A40" s="1" t="s">
        <v>73</v>
      </c>
    </row>
  </sheetData>
  <sheetProtection sheet="1" objects="1" scenarios="1"/>
  <mergeCells count="16">
    <mergeCell ref="A1:G1"/>
    <mergeCell ref="A2:G2"/>
    <mergeCell ref="A3:G3"/>
    <mergeCell ref="A7:G8"/>
    <mergeCell ref="A4:G5"/>
    <mergeCell ref="A6:G6"/>
    <mergeCell ref="A30:G30"/>
    <mergeCell ref="A31:G31"/>
    <mergeCell ref="A27:G28"/>
    <mergeCell ref="A10:G11"/>
    <mergeCell ref="A13:G14"/>
    <mergeCell ref="A24:G25"/>
    <mergeCell ref="A15:G17"/>
    <mergeCell ref="A19:G19"/>
    <mergeCell ref="A20:G20"/>
    <mergeCell ref="A21:G21"/>
  </mergeCells>
  <phoneticPr fontId="9" type="noConversion"/>
  <pageMargins left="1" right="1" top="1" bottom="1" header="0.5" footer="0.5"/>
  <pageSetup orientation="portrait" blackAndWhite="1" r:id="rId1"/>
  <headerFooter alignWithMargins="0">
    <oddFooter>&amp;Lrevised 8/06/07</oddFooter>
  </headerFooter>
</worksheet>
</file>

<file path=xl/worksheets/sheet37.xml><?xml version="1.0" encoding="utf-8"?>
<worksheet xmlns="http://schemas.openxmlformats.org/spreadsheetml/2006/main" xmlns:r="http://schemas.openxmlformats.org/officeDocument/2006/relationships">
  <sheetPr>
    <tabColor rgb="FFFF0000"/>
  </sheetPr>
  <dimension ref="A3:L85"/>
  <sheetViews>
    <sheetView workbookViewId="0">
      <selection activeCell="A33" sqref="A33"/>
    </sheetView>
  </sheetViews>
  <sheetFormatPr defaultRowHeight="15"/>
  <cols>
    <col min="1" max="1" width="71.33203125" customWidth="1"/>
  </cols>
  <sheetData>
    <row r="3" spans="1:12">
      <c r="A3" s="411" t="s">
        <v>417</v>
      </c>
      <c r="B3" s="411"/>
      <c r="C3" s="411"/>
      <c r="D3" s="411"/>
      <c r="E3" s="411"/>
      <c r="F3" s="411"/>
      <c r="G3" s="411"/>
      <c r="H3" s="411"/>
      <c r="I3" s="411"/>
      <c r="J3" s="411"/>
      <c r="K3" s="411"/>
      <c r="L3" s="411"/>
    </row>
    <row r="5" spans="1:12">
      <c r="A5" s="412" t="s">
        <v>418</v>
      </c>
    </row>
    <row r="6" spans="1:12">
      <c r="A6" s="412" t="str">
        <f>CONCATENATE(inputPrYr!C10-2," 'total expenditures' exceed your ",inputPrYr!C10-2," 'budget authority.'")</f>
        <v>2012 'total expenditures' exceed your 2012 'budget authority.'</v>
      </c>
    </row>
    <row r="7" spans="1:12">
      <c r="A7" s="412"/>
    </row>
    <row r="8" spans="1:12">
      <c r="A8" s="412" t="s">
        <v>419</v>
      </c>
    </row>
    <row r="9" spans="1:12">
      <c r="A9" s="412" t="s">
        <v>420</v>
      </c>
    </row>
    <row r="10" spans="1:12">
      <c r="A10" s="412" t="s">
        <v>421</v>
      </c>
    </row>
    <row r="11" spans="1:12">
      <c r="A11" s="412"/>
    </row>
    <row r="12" spans="1:12">
      <c r="A12" s="412"/>
    </row>
    <row r="13" spans="1:12">
      <c r="A13" s="413" t="s">
        <v>422</v>
      </c>
    </row>
    <row r="15" spans="1:12">
      <c r="A15" s="412" t="s">
        <v>423</v>
      </c>
    </row>
    <row r="16" spans="1:12">
      <c r="A16" s="412" t="str">
        <f>CONCATENATE("(i.e. an audit has not been completed, or the ",inputPrYr!C10," adopted")</f>
        <v>(i.e. an audit has not been completed, or the 2014 adopted</v>
      </c>
    </row>
    <row r="17" spans="1:1">
      <c r="A17" s="412" t="s">
        <v>424</v>
      </c>
    </row>
    <row r="18" spans="1:1">
      <c r="A18" s="412" t="s">
        <v>425</v>
      </c>
    </row>
    <row r="19" spans="1:1">
      <c r="A19" s="412" t="s">
        <v>426</v>
      </c>
    </row>
    <row r="21" spans="1:1">
      <c r="A21" s="413" t="s">
        <v>427</v>
      </c>
    </row>
    <row r="22" spans="1:1">
      <c r="A22" s="413"/>
    </row>
    <row r="23" spans="1:1">
      <c r="A23" s="412" t="s">
        <v>428</v>
      </c>
    </row>
    <row r="24" spans="1:1">
      <c r="A24" s="412" t="s">
        <v>429</v>
      </c>
    </row>
    <row r="25" spans="1:1">
      <c r="A25" s="412" t="str">
        <f>CONCATENATE("particular fund.  If your ",inputPrYr!C10-2," budget was amended, did you")</f>
        <v>particular fund.  If your 2012 budget was amended, did you</v>
      </c>
    </row>
    <row r="26" spans="1:1">
      <c r="A26" s="412" t="s">
        <v>430</v>
      </c>
    </row>
    <row r="27" spans="1:1">
      <c r="A27" s="412"/>
    </row>
    <row r="28" spans="1:1">
      <c r="A28" s="412" t="str">
        <f>CONCATENATE("Next, look to see if any of your ",inputPrYr!C10-2," expenditures can be")</f>
        <v>Next, look to see if any of your 2012 expenditures can be</v>
      </c>
    </row>
    <row r="29" spans="1:1">
      <c r="A29" s="412" t="s">
        <v>431</v>
      </c>
    </row>
    <row r="30" spans="1:1">
      <c r="A30" s="412" t="s">
        <v>432</v>
      </c>
    </row>
    <row r="31" spans="1:1">
      <c r="A31" s="412" t="s">
        <v>433</v>
      </c>
    </row>
    <row r="32" spans="1:1">
      <c r="A32" s="412"/>
    </row>
    <row r="33" spans="1:1">
      <c r="A33" s="412" t="str">
        <f>CONCATENATE("Additionally, do your ",inputPrYr!C10-2," receipts contain a reimbursement")</f>
        <v>Additionally, do your 2012 receipts contain a reimbursement</v>
      </c>
    </row>
    <row r="34" spans="1:1">
      <c r="A34" s="412" t="s">
        <v>434</v>
      </c>
    </row>
    <row r="35" spans="1:1">
      <c r="A35" s="412" t="s">
        <v>435</v>
      </c>
    </row>
    <row r="36" spans="1:1">
      <c r="A36" s="412"/>
    </row>
    <row r="37" spans="1:1">
      <c r="A37" s="412" t="s">
        <v>436</v>
      </c>
    </row>
    <row r="38" spans="1:1">
      <c r="A38" s="412" t="s">
        <v>437</v>
      </c>
    </row>
    <row r="39" spans="1:1">
      <c r="A39" s="412" t="s">
        <v>438</v>
      </c>
    </row>
    <row r="40" spans="1:1">
      <c r="A40" s="412" t="s">
        <v>439</v>
      </c>
    </row>
    <row r="41" spans="1:1">
      <c r="A41" s="412" t="s">
        <v>440</v>
      </c>
    </row>
    <row r="42" spans="1:1">
      <c r="A42" s="412" t="s">
        <v>441</v>
      </c>
    </row>
    <row r="43" spans="1:1">
      <c r="A43" s="412" t="s">
        <v>442</v>
      </c>
    </row>
    <row r="44" spans="1:1">
      <c r="A44" s="412" t="s">
        <v>443</v>
      </c>
    </row>
    <row r="45" spans="1:1">
      <c r="A45" s="412"/>
    </row>
    <row r="46" spans="1:1">
      <c r="A46" s="412" t="s">
        <v>444</v>
      </c>
    </row>
    <row r="47" spans="1:1">
      <c r="A47" s="412" t="s">
        <v>445</v>
      </c>
    </row>
    <row r="48" spans="1:1">
      <c r="A48" s="412" t="s">
        <v>446</v>
      </c>
    </row>
    <row r="49" spans="1:1">
      <c r="A49" s="412"/>
    </row>
    <row r="50" spans="1:1">
      <c r="A50" s="412" t="s">
        <v>447</v>
      </c>
    </row>
    <row r="51" spans="1:1">
      <c r="A51" s="412" t="s">
        <v>448</v>
      </c>
    </row>
    <row r="52" spans="1:1">
      <c r="A52" s="412" t="s">
        <v>449</v>
      </c>
    </row>
    <row r="53" spans="1:1">
      <c r="A53" s="412"/>
    </row>
    <row r="54" spans="1:1">
      <c r="A54" s="413" t="s">
        <v>450</v>
      </c>
    </row>
    <row r="55" spans="1:1">
      <c r="A55" s="412"/>
    </row>
    <row r="56" spans="1:1">
      <c r="A56" s="412" t="s">
        <v>451</v>
      </c>
    </row>
    <row r="57" spans="1:1">
      <c r="A57" s="412" t="s">
        <v>452</v>
      </c>
    </row>
    <row r="58" spans="1:1">
      <c r="A58" s="412" t="s">
        <v>453</v>
      </c>
    </row>
    <row r="59" spans="1:1">
      <c r="A59" s="412" t="s">
        <v>454</v>
      </c>
    </row>
    <row r="60" spans="1:1">
      <c r="A60" s="412" t="s">
        <v>455</v>
      </c>
    </row>
    <row r="61" spans="1:1">
      <c r="A61" s="412" t="s">
        <v>456</v>
      </c>
    </row>
    <row r="62" spans="1:1">
      <c r="A62" s="412" t="s">
        <v>457</v>
      </c>
    </row>
    <row r="63" spans="1:1">
      <c r="A63" s="412" t="s">
        <v>458</v>
      </c>
    </row>
    <row r="64" spans="1:1">
      <c r="A64" s="412" t="s">
        <v>459</v>
      </c>
    </row>
    <row r="65" spans="1:1">
      <c r="A65" s="412" t="s">
        <v>460</v>
      </c>
    </row>
    <row r="66" spans="1:1">
      <c r="A66" s="412" t="s">
        <v>461</v>
      </c>
    </row>
    <row r="67" spans="1:1">
      <c r="A67" s="412" t="s">
        <v>462</v>
      </c>
    </row>
    <row r="68" spans="1:1">
      <c r="A68" s="412" t="s">
        <v>463</v>
      </c>
    </row>
    <row r="69" spans="1:1">
      <c r="A69" s="412"/>
    </row>
    <row r="70" spans="1:1">
      <c r="A70" s="412" t="s">
        <v>464</v>
      </c>
    </row>
    <row r="71" spans="1:1">
      <c r="A71" s="412" t="s">
        <v>465</v>
      </c>
    </row>
    <row r="72" spans="1:1">
      <c r="A72" s="412" t="s">
        <v>466</v>
      </c>
    </row>
    <row r="73" spans="1:1">
      <c r="A73" s="412"/>
    </row>
    <row r="74" spans="1:1">
      <c r="A74" s="413" t="str">
        <f>CONCATENATE("What if the ",inputPrYr!C10-2," financial records have been closed?")</f>
        <v>What if the 2012 financial records have been closed?</v>
      </c>
    </row>
    <row r="76" spans="1:1">
      <c r="A76" s="412" t="s">
        <v>467</v>
      </c>
    </row>
    <row r="77" spans="1:1">
      <c r="A77" s="412" t="str">
        <f>CONCATENATE("(i.e. an audit for ",inputPrYr!C10-2," has been completed, or the ",inputPrYr!C10)</f>
        <v>(i.e. an audit for 2012 has been completed, or the 2014</v>
      </c>
    </row>
    <row r="78" spans="1:1">
      <c r="A78" s="412" t="s">
        <v>468</v>
      </c>
    </row>
    <row r="79" spans="1:1">
      <c r="A79" s="412" t="s">
        <v>469</v>
      </c>
    </row>
    <row r="80" spans="1:1">
      <c r="A80" s="412"/>
    </row>
    <row r="81" spans="1:1">
      <c r="A81" s="412" t="s">
        <v>470</v>
      </c>
    </row>
    <row r="82" spans="1:1">
      <c r="A82" s="412" t="s">
        <v>471</v>
      </c>
    </row>
    <row r="83" spans="1:1">
      <c r="A83" s="412" t="s">
        <v>472</v>
      </c>
    </row>
    <row r="84" spans="1:1">
      <c r="A84" s="412"/>
    </row>
    <row r="85" spans="1:1">
      <c r="A85" s="412" t="s">
        <v>473</v>
      </c>
    </row>
  </sheetData>
  <sheetProtection sheet="1"/>
  <pageMargins left="0.7" right="0.7" top="0.75" bottom="0.75" header="0.3" footer="0.3"/>
  <pageSetup orientation="portrait" r:id="rId1"/>
  <headerFooter>
    <oddFooter>&amp;Lrevised 10/02/09</oddFooter>
  </headerFooter>
</worksheet>
</file>

<file path=xl/worksheets/sheet38.xml><?xml version="1.0" encoding="utf-8"?>
<worksheet xmlns="http://schemas.openxmlformats.org/spreadsheetml/2006/main" xmlns:r="http://schemas.openxmlformats.org/officeDocument/2006/relationships">
  <sheetPr>
    <tabColor rgb="FFFF0000"/>
  </sheetPr>
  <dimension ref="A3:J109"/>
  <sheetViews>
    <sheetView workbookViewId="0">
      <selection activeCell="A35" sqref="A35"/>
    </sheetView>
  </sheetViews>
  <sheetFormatPr defaultRowHeight="15"/>
  <cols>
    <col min="1" max="1" width="71.33203125" customWidth="1"/>
  </cols>
  <sheetData>
    <row r="3" spans="1:10">
      <c r="A3" s="411" t="s">
        <v>474</v>
      </c>
      <c r="B3" s="411"/>
      <c r="C3" s="411"/>
      <c r="D3" s="411"/>
      <c r="E3" s="411"/>
      <c r="F3" s="411"/>
      <c r="G3" s="411"/>
      <c r="H3" s="414"/>
      <c r="I3" s="414"/>
      <c r="J3" s="414"/>
    </row>
    <row r="5" spans="1:10">
      <c r="A5" s="412" t="s">
        <v>475</v>
      </c>
    </row>
    <row r="6" spans="1:10">
      <c r="A6" t="str">
        <f>CONCATENATE(inputPrYr!C10-2," expenditures show that you finished the year with a ")</f>
        <v xml:space="preserve">2012 expenditures show that you finished the year with a </v>
      </c>
    </row>
    <row r="7" spans="1:10">
      <c r="A7" t="s">
        <v>476</v>
      </c>
    </row>
    <row r="9" spans="1:10">
      <c r="A9" t="s">
        <v>477</v>
      </c>
    </row>
    <row r="10" spans="1:10">
      <c r="A10" t="s">
        <v>478</v>
      </c>
    </row>
    <row r="11" spans="1:10">
      <c r="A11" t="s">
        <v>479</v>
      </c>
    </row>
    <row r="13" spans="1:10">
      <c r="A13" s="413" t="s">
        <v>480</v>
      </c>
    </row>
    <row r="14" spans="1:10">
      <c r="A14" s="413"/>
    </row>
    <row r="15" spans="1:10">
      <c r="A15" s="412" t="s">
        <v>481</v>
      </c>
    </row>
    <row r="16" spans="1:10">
      <c r="A16" s="412" t="s">
        <v>482</v>
      </c>
    </row>
    <row r="17" spans="1:1">
      <c r="A17" s="412" t="s">
        <v>483</v>
      </c>
    </row>
    <row r="18" spans="1:1">
      <c r="A18" s="412"/>
    </row>
    <row r="19" spans="1:1">
      <c r="A19" s="413" t="s">
        <v>484</v>
      </c>
    </row>
    <row r="20" spans="1:1">
      <c r="A20" s="413"/>
    </row>
    <row r="21" spans="1:1">
      <c r="A21" s="412" t="s">
        <v>485</v>
      </c>
    </row>
    <row r="22" spans="1:1">
      <c r="A22" s="412" t="s">
        <v>486</v>
      </c>
    </row>
    <row r="23" spans="1:1">
      <c r="A23" s="412" t="s">
        <v>487</v>
      </c>
    </row>
    <row r="24" spans="1:1">
      <c r="A24" s="412"/>
    </row>
    <row r="25" spans="1:1">
      <c r="A25" s="413" t="s">
        <v>488</v>
      </c>
    </row>
    <row r="26" spans="1:1">
      <c r="A26" s="413"/>
    </row>
    <row r="27" spans="1:1">
      <c r="A27" s="412" t="s">
        <v>489</v>
      </c>
    </row>
    <row r="28" spans="1:1">
      <c r="A28" s="412" t="s">
        <v>490</v>
      </c>
    </row>
    <row r="29" spans="1:1">
      <c r="A29" s="412" t="s">
        <v>491</v>
      </c>
    </row>
    <row r="30" spans="1:1">
      <c r="A30" s="412"/>
    </row>
    <row r="31" spans="1:1">
      <c r="A31" s="413" t="s">
        <v>492</v>
      </c>
    </row>
    <row r="32" spans="1:1">
      <c r="A32" s="413"/>
    </row>
    <row r="33" spans="1:8">
      <c r="A33" s="412" t="str">
        <f>CONCATENATE("If your financial records for ",inputPrYr!C10-2," are not closed")</f>
        <v>If your financial records for 2012 are not closed</v>
      </c>
      <c r="B33" s="412"/>
      <c r="C33" s="412"/>
      <c r="D33" s="412"/>
      <c r="E33" s="412"/>
      <c r="F33" s="412"/>
      <c r="G33" s="412"/>
      <c r="H33" s="412"/>
    </row>
    <row r="34" spans="1:8">
      <c r="A34" s="412" t="str">
        <f>CONCATENATE("(i.e. an audit has not been completed, or the ",inputPrYr!C10," adopted ")</f>
        <v xml:space="preserve">(i.e. an audit has not been completed, or the 2014 adopted </v>
      </c>
      <c r="B34" s="412"/>
      <c r="C34" s="412"/>
      <c r="D34" s="412"/>
      <c r="E34" s="412"/>
      <c r="F34" s="412"/>
      <c r="G34" s="412"/>
      <c r="H34" s="412"/>
    </row>
    <row r="35" spans="1:8">
      <c r="A35" s="412" t="s">
        <v>493</v>
      </c>
      <c r="B35" s="412"/>
      <c r="C35" s="412"/>
      <c r="D35" s="412"/>
      <c r="E35" s="412"/>
      <c r="F35" s="412"/>
      <c r="G35" s="412"/>
      <c r="H35" s="412"/>
    </row>
    <row r="36" spans="1:8">
      <c r="A36" s="412" t="s">
        <v>494</v>
      </c>
      <c r="B36" s="412"/>
      <c r="C36" s="412"/>
      <c r="D36" s="412"/>
      <c r="E36" s="412"/>
      <c r="F36" s="412"/>
      <c r="G36" s="412"/>
      <c r="H36" s="412"/>
    </row>
    <row r="37" spans="1:8">
      <c r="A37" s="412" t="s">
        <v>495</v>
      </c>
      <c r="B37" s="412"/>
      <c r="C37" s="412"/>
      <c r="D37" s="412"/>
      <c r="E37" s="412"/>
      <c r="F37" s="412"/>
      <c r="G37" s="412"/>
      <c r="H37" s="412"/>
    </row>
    <row r="38" spans="1:8">
      <c r="A38" s="412" t="s">
        <v>496</v>
      </c>
      <c r="B38" s="412"/>
      <c r="C38" s="412"/>
      <c r="D38" s="412"/>
      <c r="E38" s="412"/>
      <c r="F38" s="412"/>
      <c r="G38" s="412"/>
      <c r="H38" s="412"/>
    </row>
    <row r="39" spans="1:8">
      <c r="A39" s="412" t="s">
        <v>497</v>
      </c>
      <c r="B39" s="412"/>
      <c r="C39" s="412"/>
      <c r="D39" s="412"/>
      <c r="E39" s="412"/>
      <c r="F39" s="412"/>
      <c r="G39" s="412"/>
      <c r="H39" s="412"/>
    </row>
    <row r="40" spans="1:8">
      <c r="A40" s="412"/>
      <c r="B40" s="412"/>
      <c r="C40" s="412"/>
      <c r="D40" s="412"/>
      <c r="E40" s="412"/>
      <c r="F40" s="412"/>
      <c r="G40" s="412"/>
      <c r="H40" s="412"/>
    </row>
    <row r="41" spans="1:8">
      <c r="A41" s="412" t="s">
        <v>498</v>
      </c>
      <c r="B41" s="412"/>
      <c r="C41" s="412"/>
      <c r="D41" s="412"/>
      <c r="E41" s="412"/>
      <c r="F41" s="412"/>
      <c r="G41" s="412"/>
      <c r="H41" s="412"/>
    </row>
    <row r="42" spans="1:8">
      <c r="A42" s="412" t="s">
        <v>499</v>
      </c>
      <c r="B42" s="412"/>
      <c r="C42" s="412"/>
      <c r="D42" s="412"/>
      <c r="E42" s="412"/>
      <c r="F42" s="412"/>
      <c r="G42" s="412"/>
      <c r="H42" s="412"/>
    </row>
    <row r="43" spans="1:8">
      <c r="A43" s="412" t="s">
        <v>500</v>
      </c>
      <c r="B43" s="412"/>
      <c r="C43" s="412"/>
      <c r="D43" s="412"/>
      <c r="E43" s="412"/>
      <c r="F43" s="412"/>
      <c r="G43" s="412"/>
      <c r="H43" s="412"/>
    </row>
    <row r="44" spans="1:8">
      <c r="A44" s="412" t="s">
        <v>501</v>
      </c>
      <c r="B44" s="412"/>
      <c r="C44" s="412"/>
      <c r="D44" s="412"/>
      <c r="E44" s="412"/>
      <c r="F44" s="412"/>
      <c r="G44" s="412"/>
      <c r="H44" s="412"/>
    </row>
    <row r="45" spans="1:8">
      <c r="A45" s="412"/>
      <c r="B45" s="412"/>
      <c r="C45" s="412"/>
      <c r="D45" s="412"/>
      <c r="E45" s="412"/>
      <c r="F45" s="412"/>
      <c r="G45" s="412"/>
      <c r="H45" s="412"/>
    </row>
    <row r="46" spans="1:8">
      <c r="A46" s="412" t="s">
        <v>502</v>
      </c>
      <c r="B46" s="412"/>
      <c r="C46" s="412"/>
      <c r="D46" s="412"/>
      <c r="E46" s="412"/>
      <c r="F46" s="412"/>
      <c r="G46" s="412"/>
      <c r="H46" s="412"/>
    </row>
    <row r="47" spans="1:8">
      <c r="A47" s="412" t="s">
        <v>503</v>
      </c>
      <c r="B47" s="412"/>
      <c r="C47" s="412"/>
      <c r="D47" s="412"/>
      <c r="E47" s="412"/>
      <c r="F47" s="412"/>
      <c r="G47" s="412"/>
      <c r="H47" s="412"/>
    </row>
    <row r="48" spans="1:8">
      <c r="A48" s="412" t="s">
        <v>504</v>
      </c>
      <c r="B48" s="412"/>
      <c r="C48" s="412"/>
      <c r="D48" s="412"/>
      <c r="E48" s="412"/>
      <c r="F48" s="412"/>
      <c r="G48" s="412"/>
      <c r="H48" s="412"/>
    </row>
    <row r="49" spans="1:8">
      <c r="A49" s="412" t="s">
        <v>505</v>
      </c>
      <c r="B49" s="412"/>
      <c r="C49" s="412"/>
      <c r="D49" s="412"/>
      <c r="E49" s="412"/>
      <c r="F49" s="412"/>
      <c r="G49" s="412"/>
      <c r="H49" s="412"/>
    </row>
    <row r="50" spans="1:8">
      <c r="A50" s="412" t="s">
        <v>506</v>
      </c>
      <c r="B50" s="412"/>
      <c r="C50" s="412"/>
      <c r="D50" s="412"/>
      <c r="E50" s="412"/>
      <c r="F50" s="412"/>
      <c r="G50" s="412"/>
      <c r="H50" s="412"/>
    </row>
    <row r="51" spans="1:8">
      <c r="A51" s="412"/>
      <c r="B51" s="412"/>
      <c r="C51" s="412"/>
      <c r="D51" s="412"/>
      <c r="E51" s="412"/>
      <c r="F51" s="412"/>
      <c r="G51" s="412"/>
      <c r="H51" s="412"/>
    </row>
    <row r="52" spans="1:8">
      <c r="A52" s="413" t="s">
        <v>507</v>
      </c>
      <c r="B52" s="413"/>
      <c r="C52" s="413"/>
      <c r="D52" s="413"/>
      <c r="E52" s="413"/>
      <c r="F52" s="413"/>
      <c r="G52" s="413"/>
      <c r="H52" s="412"/>
    </row>
    <row r="53" spans="1:8">
      <c r="A53" s="413" t="s">
        <v>508</v>
      </c>
      <c r="B53" s="413"/>
      <c r="C53" s="413"/>
      <c r="D53" s="413"/>
      <c r="E53" s="413"/>
      <c r="F53" s="413"/>
      <c r="G53" s="413"/>
      <c r="H53" s="412"/>
    </row>
    <row r="54" spans="1:8">
      <c r="A54" s="412"/>
      <c r="B54" s="412"/>
      <c r="C54" s="412"/>
      <c r="D54" s="412"/>
      <c r="E54" s="412"/>
      <c r="F54" s="412"/>
      <c r="G54" s="412"/>
      <c r="H54" s="412"/>
    </row>
    <row r="55" spans="1:8">
      <c r="A55" s="412" t="s">
        <v>509</v>
      </c>
      <c r="B55" s="412"/>
      <c r="C55" s="412"/>
      <c r="D55" s="412"/>
      <c r="E55" s="412"/>
      <c r="F55" s="412"/>
      <c r="G55" s="412"/>
      <c r="H55" s="412"/>
    </row>
    <row r="56" spans="1:8">
      <c r="A56" s="412" t="s">
        <v>510</v>
      </c>
      <c r="B56" s="412"/>
      <c r="C56" s="412"/>
      <c r="D56" s="412"/>
      <c r="E56" s="412"/>
      <c r="F56" s="412"/>
      <c r="G56" s="412"/>
      <c r="H56" s="412"/>
    </row>
    <row r="57" spans="1:8">
      <c r="A57" s="412" t="s">
        <v>511</v>
      </c>
      <c r="B57" s="412"/>
      <c r="C57" s="412"/>
      <c r="D57" s="412"/>
      <c r="E57" s="412"/>
      <c r="F57" s="412"/>
      <c r="G57" s="412"/>
      <c r="H57" s="412"/>
    </row>
    <row r="58" spans="1:8">
      <c r="A58" s="412" t="s">
        <v>512</v>
      </c>
      <c r="B58" s="412"/>
      <c r="C58" s="412"/>
      <c r="D58" s="412"/>
      <c r="E58" s="412"/>
      <c r="F58" s="412"/>
      <c r="G58" s="412"/>
      <c r="H58" s="412"/>
    </row>
    <row r="59" spans="1:8">
      <c r="A59" s="412"/>
      <c r="B59" s="412"/>
      <c r="C59" s="412"/>
      <c r="D59" s="412"/>
      <c r="E59" s="412"/>
      <c r="F59" s="412"/>
      <c r="G59" s="412"/>
      <c r="H59" s="412"/>
    </row>
    <row r="60" spans="1:8">
      <c r="A60" s="412" t="s">
        <v>513</v>
      </c>
      <c r="B60" s="412"/>
      <c r="C60" s="412"/>
      <c r="D60" s="412"/>
      <c r="E60" s="412"/>
      <c r="F60" s="412"/>
      <c r="G60" s="412"/>
      <c r="H60" s="412"/>
    </row>
    <row r="61" spans="1:8">
      <c r="A61" s="412" t="s">
        <v>514</v>
      </c>
      <c r="B61" s="412"/>
      <c r="C61" s="412"/>
      <c r="D61" s="412"/>
      <c r="E61" s="412"/>
      <c r="F61" s="412"/>
      <c r="G61" s="412"/>
      <c r="H61" s="412"/>
    </row>
    <row r="62" spans="1:8">
      <c r="A62" s="412" t="s">
        <v>515</v>
      </c>
      <c r="B62" s="412"/>
      <c r="C62" s="412"/>
      <c r="D62" s="412"/>
      <c r="E62" s="412"/>
      <c r="F62" s="412"/>
      <c r="G62" s="412"/>
      <c r="H62" s="412"/>
    </row>
    <row r="63" spans="1:8">
      <c r="A63" s="412" t="s">
        <v>516</v>
      </c>
      <c r="B63" s="412"/>
      <c r="C63" s="412"/>
      <c r="D63" s="412"/>
      <c r="E63" s="412"/>
      <c r="F63" s="412"/>
      <c r="G63" s="412"/>
      <c r="H63" s="412"/>
    </row>
    <row r="64" spans="1:8">
      <c r="A64" s="412" t="s">
        <v>517</v>
      </c>
      <c r="B64" s="412"/>
      <c r="C64" s="412"/>
      <c r="D64" s="412"/>
      <c r="E64" s="412"/>
      <c r="F64" s="412"/>
      <c r="G64" s="412"/>
      <c r="H64" s="412"/>
    </row>
    <row r="65" spans="1:8">
      <c r="A65" s="412" t="s">
        <v>518</v>
      </c>
      <c r="B65" s="412"/>
      <c r="C65" s="412"/>
      <c r="D65" s="412"/>
      <c r="E65" s="412"/>
      <c r="F65" s="412"/>
      <c r="G65" s="412"/>
      <c r="H65" s="412"/>
    </row>
    <row r="66" spans="1:8">
      <c r="A66" s="412"/>
      <c r="B66" s="412"/>
      <c r="C66" s="412"/>
      <c r="D66" s="412"/>
      <c r="E66" s="412"/>
      <c r="F66" s="412"/>
      <c r="G66" s="412"/>
      <c r="H66" s="412"/>
    </row>
    <row r="67" spans="1:8">
      <c r="A67" s="412" t="s">
        <v>519</v>
      </c>
      <c r="B67" s="412"/>
      <c r="C67" s="412"/>
      <c r="D67" s="412"/>
      <c r="E67" s="412"/>
      <c r="F67" s="412"/>
      <c r="G67" s="412"/>
      <c r="H67" s="412"/>
    </row>
    <row r="68" spans="1:8">
      <c r="A68" s="412" t="s">
        <v>520</v>
      </c>
      <c r="B68" s="412"/>
      <c r="C68" s="412"/>
      <c r="D68" s="412"/>
      <c r="E68" s="412"/>
      <c r="F68" s="412"/>
      <c r="G68" s="412"/>
      <c r="H68" s="412"/>
    </row>
    <row r="69" spans="1:8">
      <c r="A69" s="412" t="s">
        <v>521</v>
      </c>
      <c r="B69" s="412"/>
      <c r="C69" s="412"/>
      <c r="D69" s="412"/>
      <c r="E69" s="412"/>
      <c r="F69" s="412"/>
      <c r="G69" s="412"/>
      <c r="H69" s="412"/>
    </row>
    <row r="70" spans="1:8">
      <c r="A70" s="412" t="s">
        <v>522</v>
      </c>
      <c r="B70" s="412"/>
      <c r="C70" s="412"/>
      <c r="D70" s="412"/>
      <c r="E70" s="412"/>
      <c r="F70" s="412"/>
      <c r="G70" s="412"/>
      <c r="H70" s="412"/>
    </row>
    <row r="71" spans="1:8">
      <c r="A71" s="412" t="s">
        <v>523</v>
      </c>
      <c r="B71" s="412"/>
      <c r="C71" s="412"/>
      <c r="D71" s="412"/>
      <c r="E71" s="412"/>
      <c r="F71" s="412"/>
      <c r="G71" s="412"/>
      <c r="H71" s="412"/>
    </row>
    <row r="72" spans="1:8">
      <c r="A72" s="412" t="s">
        <v>524</v>
      </c>
      <c r="B72" s="412"/>
      <c r="C72" s="412"/>
      <c r="D72" s="412"/>
      <c r="E72" s="412"/>
      <c r="F72" s="412"/>
      <c r="G72" s="412"/>
      <c r="H72" s="412"/>
    </row>
    <row r="73" spans="1:8">
      <c r="A73" s="412" t="s">
        <v>525</v>
      </c>
      <c r="B73" s="412"/>
      <c r="C73" s="412"/>
      <c r="D73" s="412"/>
      <c r="E73" s="412"/>
      <c r="F73" s="412"/>
      <c r="G73" s="412"/>
      <c r="H73" s="412"/>
    </row>
    <row r="74" spans="1:8">
      <c r="A74" s="412"/>
      <c r="B74" s="412"/>
      <c r="C74" s="412"/>
      <c r="D74" s="412"/>
      <c r="E74" s="412"/>
      <c r="F74" s="412"/>
      <c r="G74" s="412"/>
      <c r="H74" s="412"/>
    </row>
    <row r="75" spans="1:8">
      <c r="A75" s="412" t="s">
        <v>526</v>
      </c>
      <c r="B75" s="412"/>
      <c r="C75" s="412"/>
      <c r="D75" s="412"/>
      <c r="E75" s="412"/>
      <c r="F75" s="412"/>
      <c r="G75" s="412"/>
      <c r="H75" s="412"/>
    </row>
    <row r="76" spans="1:8">
      <c r="A76" s="412" t="s">
        <v>527</v>
      </c>
      <c r="B76" s="412"/>
      <c r="C76" s="412"/>
      <c r="D76" s="412"/>
      <c r="E76" s="412"/>
      <c r="F76" s="412"/>
      <c r="G76" s="412"/>
      <c r="H76" s="412"/>
    </row>
    <row r="77" spans="1:8">
      <c r="A77" s="412" t="s">
        <v>528</v>
      </c>
      <c r="B77" s="412"/>
      <c r="C77" s="412"/>
      <c r="D77" s="412"/>
      <c r="E77" s="412"/>
      <c r="F77" s="412"/>
      <c r="G77" s="412"/>
      <c r="H77" s="412"/>
    </row>
    <row r="78" spans="1:8">
      <c r="A78" s="412"/>
      <c r="B78" s="412"/>
      <c r="C78" s="412"/>
      <c r="D78" s="412"/>
      <c r="E78" s="412"/>
      <c r="F78" s="412"/>
      <c r="G78" s="412"/>
      <c r="H78" s="412"/>
    </row>
    <row r="79" spans="1:8">
      <c r="A79" s="412" t="s">
        <v>473</v>
      </c>
    </row>
    <row r="80" spans="1:8">
      <c r="A80" s="413"/>
    </row>
    <row r="81" spans="1:1">
      <c r="A81" s="412"/>
    </row>
    <row r="82" spans="1:1">
      <c r="A82" s="412"/>
    </row>
    <row r="83" spans="1:1">
      <c r="A83" s="412"/>
    </row>
    <row r="84" spans="1:1">
      <c r="A84" s="412"/>
    </row>
    <row r="85" spans="1:1">
      <c r="A85" s="412"/>
    </row>
    <row r="86" spans="1:1">
      <c r="A86" s="412"/>
    </row>
    <row r="87" spans="1:1">
      <c r="A87" s="412"/>
    </row>
    <row r="88" spans="1:1">
      <c r="A88" s="412"/>
    </row>
    <row r="89" spans="1:1">
      <c r="A89" s="412"/>
    </row>
    <row r="90" spans="1:1">
      <c r="A90" s="412"/>
    </row>
    <row r="91" spans="1:1">
      <c r="A91" s="412"/>
    </row>
    <row r="92" spans="1:1">
      <c r="A92" s="412"/>
    </row>
    <row r="93" spans="1:1">
      <c r="A93" s="412"/>
    </row>
    <row r="94" spans="1:1">
      <c r="A94" s="412"/>
    </row>
    <row r="95" spans="1:1">
      <c r="A95" s="412"/>
    </row>
    <row r="96" spans="1:1">
      <c r="A96" s="412"/>
    </row>
    <row r="97" spans="1:1">
      <c r="A97" s="412"/>
    </row>
    <row r="98" spans="1:1">
      <c r="A98" s="412"/>
    </row>
    <row r="99" spans="1:1">
      <c r="A99" s="412"/>
    </row>
    <row r="100" spans="1:1">
      <c r="A100" s="412"/>
    </row>
    <row r="101" spans="1:1">
      <c r="A101" s="412"/>
    </row>
    <row r="103" spans="1:1">
      <c r="A103" s="412"/>
    </row>
    <row r="104" spans="1:1">
      <c r="A104" s="412"/>
    </row>
    <row r="105" spans="1:1">
      <c r="A105" s="412"/>
    </row>
    <row r="107" spans="1:1">
      <c r="A107" s="413"/>
    </row>
    <row r="108" spans="1:1">
      <c r="A108" s="413"/>
    </row>
    <row r="109" spans="1:1">
      <c r="A109" s="413"/>
    </row>
  </sheetData>
  <sheetProtection sheet="1"/>
  <pageMargins left="0.7" right="0.7" top="0.75" bottom="0.75" header="0.3" footer="0.3"/>
  <pageSetup orientation="portrait" r:id="rId1"/>
  <headerFooter>
    <oddFooter>&amp;Lrevised 10/02/09</oddFooter>
  </headerFooter>
</worksheet>
</file>

<file path=xl/worksheets/sheet39.xml><?xml version="1.0" encoding="utf-8"?>
<worksheet xmlns="http://schemas.openxmlformats.org/spreadsheetml/2006/main" xmlns:r="http://schemas.openxmlformats.org/officeDocument/2006/relationships">
  <sheetPr>
    <tabColor rgb="FFFF0000"/>
  </sheetPr>
  <dimension ref="A3:L75"/>
  <sheetViews>
    <sheetView workbookViewId="0">
      <selection activeCell="A38" sqref="A38"/>
    </sheetView>
  </sheetViews>
  <sheetFormatPr defaultRowHeight="15"/>
  <cols>
    <col min="1" max="1" width="71.33203125" customWidth="1"/>
  </cols>
  <sheetData>
    <row r="3" spans="1:12">
      <c r="A3" s="411" t="s">
        <v>529</v>
      </c>
      <c r="B3" s="411"/>
      <c r="C3" s="411"/>
      <c r="D3" s="411"/>
      <c r="E3" s="411"/>
      <c r="F3" s="411"/>
      <c r="G3" s="411"/>
      <c r="H3" s="411"/>
      <c r="I3" s="411"/>
      <c r="J3" s="411"/>
      <c r="K3" s="411"/>
      <c r="L3" s="411"/>
    </row>
    <row r="4" spans="1:12">
      <c r="A4" s="411"/>
      <c r="B4" s="411"/>
      <c r="C4" s="411"/>
      <c r="D4" s="411"/>
      <c r="E4" s="411"/>
      <c r="F4" s="411"/>
      <c r="G4" s="411"/>
      <c r="H4" s="411"/>
      <c r="I4" s="411"/>
      <c r="J4" s="411"/>
      <c r="K4" s="411"/>
      <c r="L4" s="411"/>
    </row>
    <row r="5" spans="1:12">
      <c r="A5" s="412" t="s">
        <v>418</v>
      </c>
      <c r="I5" s="411"/>
      <c r="J5" s="411"/>
      <c r="K5" s="411"/>
      <c r="L5" s="411"/>
    </row>
    <row r="6" spans="1:12">
      <c r="A6" s="412" t="str">
        <f>CONCATENATE("estimated ",inputPrYr!C10-1," 'total expenditures' exceed your ",inputPrYr!C10-1,"")</f>
        <v>estimated 2013 'total expenditures' exceed your 2013</v>
      </c>
      <c r="I6" s="411"/>
      <c r="J6" s="411"/>
      <c r="K6" s="411"/>
      <c r="L6" s="411"/>
    </row>
    <row r="7" spans="1:12">
      <c r="A7" s="415" t="s">
        <v>530</v>
      </c>
      <c r="I7" s="411"/>
      <c r="J7" s="411"/>
      <c r="K7" s="411"/>
      <c r="L7" s="411"/>
    </row>
    <row r="8" spans="1:12">
      <c r="A8" s="412"/>
      <c r="I8" s="411"/>
      <c r="J8" s="411"/>
      <c r="K8" s="411"/>
      <c r="L8" s="411"/>
    </row>
    <row r="9" spans="1:12">
      <c r="A9" s="412" t="s">
        <v>531</v>
      </c>
      <c r="I9" s="411"/>
      <c r="J9" s="411"/>
      <c r="K9" s="411"/>
      <c r="L9" s="411"/>
    </row>
    <row r="10" spans="1:12">
      <c r="A10" s="412" t="s">
        <v>532</v>
      </c>
      <c r="I10" s="411"/>
      <c r="J10" s="411"/>
      <c r="K10" s="411"/>
      <c r="L10" s="411"/>
    </row>
    <row r="11" spans="1:12">
      <c r="A11" s="412" t="s">
        <v>533</v>
      </c>
      <c r="I11" s="411"/>
      <c r="J11" s="411"/>
      <c r="K11" s="411"/>
      <c r="L11" s="411"/>
    </row>
    <row r="12" spans="1:12">
      <c r="A12" s="412" t="s">
        <v>534</v>
      </c>
      <c r="I12" s="411"/>
      <c r="J12" s="411"/>
      <c r="K12" s="411"/>
      <c r="L12" s="411"/>
    </row>
    <row r="13" spans="1:12">
      <c r="A13" s="412" t="s">
        <v>535</v>
      </c>
      <c r="I13" s="411"/>
      <c r="J13" s="411"/>
      <c r="K13" s="411"/>
      <c r="L13" s="411"/>
    </row>
    <row r="14" spans="1:12">
      <c r="A14" s="411"/>
      <c r="B14" s="411"/>
      <c r="C14" s="411"/>
      <c r="D14" s="411"/>
      <c r="E14" s="411"/>
      <c r="F14" s="411"/>
      <c r="G14" s="411"/>
      <c r="H14" s="411"/>
      <c r="I14" s="411"/>
      <c r="J14" s="411"/>
      <c r="K14" s="411"/>
      <c r="L14" s="411"/>
    </row>
    <row r="15" spans="1:12">
      <c r="A15" s="413" t="s">
        <v>536</v>
      </c>
    </row>
    <row r="16" spans="1:12">
      <c r="A16" s="413" t="s">
        <v>537</v>
      </c>
    </row>
    <row r="17" spans="1:7">
      <c r="A17" s="413"/>
    </row>
    <row r="18" spans="1:7">
      <c r="A18" s="412" t="s">
        <v>538</v>
      </c>
      <c r="B18" s="412"/>
      <c r="C18" s="412"/>
      <c r="D18" s="412"/>
      <c r="E18" s="412"/>
      <c r="F18" s="412"/>
      <c r="G18" s="412"/>
    </row>
    <row r="19" spans="1:7">
      <c r="A19" s="412" t="str">
        <f>CONCATENATE("your ",inputPrYr!C10-1," numbers to see what steps might be necessary to")</f>
        <v>your 2013 numbers to see what steps might be necessary to</v>
      </c>
      <c r="B19" s="412"/>
      <c r="C19" s="412"/>
      <c r="D19" s="412"/>
      <c r="E19" s="412"/>
      <c r="F19" s="412"/>
      <c r="G19" s="412"/>
    </row>
    <row r="20" spans="1:7">
      <c r="A20" s="412" t="s">
        <v>539</v>
      </c>
      <c r="B20" s="412"/>
      <c r="C20" s="412"/>
      <c r="D20" s="412"/>
      <c r="E20" s="412"/>
      <c r="F20" s="412"/>
      <c r="G20" s="412"/>
    </row>
    <row r="21" spans="1:7">
      <c r="A21" s="412" t="s">
        <v>540</v>
      </c>
      <c r="B21" s="412"/>
      <c r="C21" s="412"/>
      <c r="D21" s="412"/>
      <c r="E21" s="412"/>
      <c r="F21" s="412"/>
      <c r="G21" s="412"/>
    </row>
    <row r="22" spans="1:7">
      <c r="A22" s="412"/>
    </row>
    <row r="23" spans="1:7">
      <c r="A23" s="413" t="s">
        <v>541</v>
      </c>
    </row>
    <row r="24" spans="1:7">
      <c r="A24" s="413"/>
    </row>
    <row r="25" spans="1:7">
      <c r="A25" s="412" t="s">
        <v>542</v>
      </c>
    </row>
    <row r="26" spans="1:7">
      <c r="A26" s="412" t="s">
        <v>543</v>
      </c>
      <c r="B26" s="412"/>
      <c r="C26" s="412"/>
      <c r="D26" s="412"/>
      <c r="E26" s="412"/>
      <c r="F26" s="412"/>
    </row>
    <row r="27" spans="1:7">
      <c r="A27" s="412" t="s">
        <v>544</v>
      </c>
      <c r="B27" s="412"/>
      <c r="C27" s="412"/>
      <c r="D27" s="412"/>
      <c r="E27" s="412"/>
      <c r="F27" s="412"/>
    </row>
    <row r="28" spans="1:7">
      <c r="A28" s="412" t="s">
        <v>545</v>
      </c>
      <c r="B28" s="412"/>
      <c r="C28" s="412"/>
      <c r="D28" s="412"/>
      <c r="E28" s="412"/>
      <c r="F28" s="412"/>
    </row>
    <row r="29" spans="1:7">
      <c r="A29" s="412"/>
      <c r="B29" s="412"/>
      <c r="C29" s="412"/>
      <c r="D29" s="412"/>
      <c r="E29" s="412"/>
      <c r="F29" s="412"/>
    </row>
    <row r="30" spans="1:7">
      <c r="A30" s="413" t="s">
        <v>546</v>
      </c>
      <c r="B30" s="413"/>
      <c r="C30" s="413"/>
      <c r="D30" s="413"/>
      <c r="E30" s="413"/>
      <c r="F30" s="413"/>
      <c r="G30" s="413"/>
    </row>
    <row r="31" spans="1:7">
      <c r="A31" s="413" t="s">
        <v>547</v>
      </c>
      <c r="B31" s="413"/>
      <c r="C31" s="413"/>
      <c r="D31" s="413"/>
      <c r="E31" s="413"/>
      <c r="F31" s="413"/>
      <c r="G31" s="413"/>
    </row>
    <row r="32" spans="1:7">
      <c r="A32" s="412"/>
      <c r="B32" s="412"/>
      <c r="C32" s="412"/>
      <c r="D32" s="412"/>
      <c r="E32" s="412"/>
      <c r="F32" s="412"/>
    </row>
    <row r="33" spans="1:6">
      <c r="A33" s="416" t="str">
        <f>CONCATENATE("Well, let's look to see if any of your ",inputPrYr!C10-1," expenditures can")</f>
        <v>Well, let's look to see if any of your 2013 expenditures can</v>
      </c>
      <c r="B33" s="412"/>
      <c r="C33" s="412"/>
      <c r="D33" s="412"/>
      <c r="E33" s="412"/>
      <c r="F33" s="412"/>
    </row>
    <row r="34" spans="1:6">
      <c r="A34" s="416" t="s">
        <v>548</v>
      </c>
      <c r="B34" s="412"/>
      <c r="C34" s="412"/>
      <c r="D34" s="412"/>
      <c r="E34" s="412"/>
      <c r="F34" s="412"/>
    </row>
    <row r="35" spans="1:6">
      <c r="A35" s="416" t="s">
        <v>432</v>
      </c>
      <c r="B35" s="412"/>
      <c r="C35" s="412"/>
      <c r="D35" s="412"/>
      <c r="E35" s="412"/>
      <c r="F35" s="412"/>
    </row>
    <row r="36" spans="1:6">
      <c r="A36" s="416" t="s">
        <v>433</v>
      </c>
      <c r="B36" s="412"/>
      <c r="C36" s="412"/>
      <c r="D36" s="412"/>
      <c r="E36" s="412"/>
      <c r="F36" s="412"/>
    </row>
    <row r="37" spans="1:6">
      <c r="A37" s="416"/>
      <c r="B37" s="412"/>
      <c r="C37" s="412"/>
      <c r="D37" s="412"/>
      <c r="E37" s="412"/>
      <c r="F37" s="412"/>
    </row>
    <row r="38" spans="1:6">
      <c r="A38" s="416" t="str">
        <f>CONCATENATE("Additionally, do your ",inputPrYr!C10-1," receipts contain a reimbursement")</f>
        <v>Additionally, do your 2013 receipts contain a reimbursement</v>
      </c>
      <c r="B38" s="412"/>
      <c r="C38" s="412"/>
      <c r="D38" s="412"/>
      <c r="E38" s="412"/>
      <c r="F38" s="412"/>
    </row>
    <row r="39" spans="1:6">
      <c r="A39" s="416" t="s">
        <v>434</v>
      </c>
      <c r="B39" s="412"/>
      <c r="C39" s="412"/>
      <c r="D39" s="412"/>
      <c r="E39" s="412"/>
      <c r="F39" s="412"/>
    </row>
    <row r="40" spans="1:6">
      <c r="A40" s="416" t="s">
        <v>435</v>
      </c>
      <c r="B40" s="412"/>
      <c r="C40" s="412"/>
      <c r="D40" s="412"/>
      <c r="E40" s="412"/>
      <c r="F40" s="412"/>
    </row>
    <row r="41" spans="1:6">
      <c r="A41" s="416"/>
      <c r="B41" s="412"/>
      <c r="C41" s="412"/>
      <c r="D41" s="412"/>
      <c r="E41" s="412"/>
      <c r="F41" s="412"/>
    </row>
    <row r="42" spans="1:6">
      <c r="A42" s="416" t="s">
        <v>436</v>
      </c>
      <c r="B42" s="412"/>
      <c r="C42" s="412"/>
      <c r="D42" s="412"/>
      <c r="E42" s="412"/>
      <c r="F42" s="412"/>
    </row>
    <row r="43" spans="1:6">
      <c r="A43" s="416" t="s">
        <v>437</v>
      </c>
      <c r="B43" s="412"/>
      <c r="C43" s="412"/>
      <c r="D43" s="412"/>
      <c r="E43" s="412"/>
      <c r="F43" s="412"/>
    </row>
    <row r="44" spans="1:6">
      <c r="A44" s="416" t="s">
        <v>438</v>
      </c>
      <c r="B44" s="412"/>
      <c r="C44" s="412"/>
      <c r="D44" s="412"/>
      <c r="E44" s="412"/>
      <c r="F44" s="412"/>
    </row>
    <row r="45" spans="1:6">
      <c r="A45" s="416" t="s">
        <v>549</v>
      </c>
      <c r="B45" s="412"/>
      <c r="C45" s="412"/>
      <c r="D45" s="412"/>
      <c r="E45" s="412"/>
      <c r="F45" s="412"/>
    </row>
    <row r="46" spans="1:6">
      <c r="A46" s="416" t="s">
        <v>440</v>
      </c>
      <c r="B46" s="412"/>
      <c r="C46" s="412"/>
      <c r="D46" s="412"/>
      <c r="E46" s="412"/>
      <c r="F46" s="412"/>
    </row>
    <row r="47" spans="1:6">
      <c r="A47" s="416" t="s">
        <v>550</v>
      </c>
      <c r="B47" s="412"/>
      <c r="C47" s="412"/>
      <c r="D47" s="412"/>
      <c r="E47" s="412"/>
      <c r="F47" s="412"/>
    </row>
    <row r="48" spans="1:6">
      <c r="A48" s="416" t="s">
        <v>551</v>
      </c>
      <c r="B48" s="412"/>
      <c r="C48" s="412"/>
      <c r="D48" s="412"/>
      <c r="E48" s="412"/>
      <c r="F48" s="412"/>
    </row>
    <row r="49" spans="1:6">
      <c r="A49" s="416" t="s">
        <v>443</v>
      </c>
      <c r="B49" s="412"/>
      <c r="C49" s="412"/>
      <c r="D49" s="412"/>
      <c r="E49" s="412"/>
      <c r="F49" s="412"/>
    </row>
    <row r="50" spans="1:6">
      <c r="A50" s="416"/>
      <c r="B50" s="412"/>
      <c r="C50" s="412"/>
      <c r="D50" s="412"/>
      <c r="E50" s="412"/>
      <c r="F50" s="412"/>
    </row>
    <row r="51" spans="1:6">
      <c r="A51" s="416" t="s">
        <v>444</v>
      </c>
      <c r="B51" s="412"/>
      <c r="C51" s="412"/>
      <c r="D51" s="412"/>
      <c r="E51" s="412"/>
      <c r="F51" s="412"/>
    </row>
    <row r="52" spans="1:6">
      <c r="A52" s="416" t="s">
        <v>445</v>
      </c>
      <c r="B52" s="412"/>
      <c r="C52" s="412"/>
      <c r="D52" s="412"/>
      <c r="E52" s="412"/>
      <c r="F52" s="412"/>
    </row>
    <row r="53" spans="1:6">
      <c r="A53" s="416" t="s">
        <v>446</v>
      </c>
      <c r="B53" s="412"/>
      <c r="C53" s="412"/>
      <c r="D53" s="412"/>
      <c r="E53" s="412"/>
      <c r="F53" s="412"/>
    </row>
    <row r="54" spans="1:6">
      <c r="A54" s="416"/>
      <c r="B54" s="412"/>
      <c r="C54" s="412"/>
      <c r="D54" s="412"/>
      <c r="E54" s="412"/>
      <c r="F54" s="412"/>
    </row>
    <row r="55" spans="1:6">
      <c r="A55" s="416" t="s">
        <v>552</v>
      </c>
      <c r="B55" s="412"/>
      <c r="C55" s="412"/>
      <c r="D55" s="412"/>
      <c r="E55" s="412"/>
      <c r="F55" s="412"/>
    </row>
    <row r="56" spans="1:6">
      <c r="A56" s="416" t="s">
        <v>553</v>
      </c>
      <c r="B56" s="412"/>
      <c r="C56" s="412"/>
      <c r="D56" s="412"/>
      <c r="E56" s="412"/>
      <c r="F56" s="412"/>
    </row>
    <row r="57" spans="1:6">
      <c r="A57" s="416" t="s">
        <v>554</v>
      </c>
      <c r="B57" s="412"/>
      <c r="C57" s="412"/>
      <c r="D57" s="412"/>
      <c r="E57" s="412"/>
      <c r="F57" s="412"/>
    </row>
    <row r="58" spans="1:6">
      <c r="A58" s="416" t="s">
        <v>555</v>
      </c>
      <c r="B58" s="412"/>
      <c r="C58" s="412"/>
      <c r="D58" s="412"/>
      <c r="E58" s="412"/>
      <c r="F58" s="412"/>
    </row>
    <row r="59" spans="1:6">
      <c r="A59" s="416" t="s">
        <v>556</v>
      </c>
      <c r="B59" s="412"/>
      <c r="C59" s="412"/>
      <c r="D59" s="412"/>
      <c r="E59" s="412"/>
      <c r="F59" s="412"/>
    </row>
    <row r="60" spans="1:6">
      <c r="A60" s="416"/>
      <c r="B60" s="412"/>
      <c r="C60" s="412"/>
      <c r="D60" s="412"/>
      <c r="E60" s="412"/>
      <c r="F60" s="412"/>
    </row>
    <row r="61" spans="1:6">
      <c r="A61" s="417" t="s">
        <v>557</v>
      </c>
      <c r="B61" s="412"/>
      <c r="C61" s="412"/>
      <c r="D61" s="412"/>
      <c r="E61" s="412"/>
      <c r="F61" s="412"/>
    </row>
    <row r="62" spans="1:6">
      <c r="A62" s="417" t="s">
        <v>558</v>
      </c>
      <c r="B62" s="412"/>
      <c r="C62" s="412"/>
      <c r="D62" s="412"/>
      <c r="E62" s="412"/>
      <c r="F62" s="412"/>
    </row>
    <row r="63" spans="1:6">
      <c r="A63" s="417" t="s">
        <v>559</v>
      </c>
      <c r="B63" s="412"/>
      <c r="C63" s="412"/>
      <c r="D63" s="412"/>
      <c r="E63" s="412"/>
      <c r="F63" s="412"/>
    </row>
    <row r="64" spans="1:6">
      <c r="A64" s="417" t="s">
        <v>560</v>
      </c>
    </row>
    <row r="65" spans="1:1">
      <c r="A65" s="417" t="s">
        <v>561</v>
      </c>
    </row>
    <row r="66" spans="1:1">
      <c r="A66" s="417" t="s">
        <v>562</v>
      </c>
    </row>
    <row r="68" spans="1:1">
      <c r="A68" s="412" t="s">
        <v>563</v>
      </c>
    </row>
    <row r="69" spans="1:1">
      <c r="A69" s="412" t="s">
        <v>564</v>
      </c>
    </row>
    <row r="70" spans="1:1">
      <c r="A70" s="412" t="s">
        <v>565</v>
      </c>
    </row>
    <row r="71" spans="1:1">
      <c r="A71" s="412" t="s">
        <v>566</v>
      </c>
    </row>
    <row r="72" spans="1:1">
      <c r="A72" s="412" t="s">
        <v>567</v>
      </c>
    </row>
    <row r="73" spans="1:1">
      <c r="A73" s="412" t="s">
        <v>568</v>
      </c>
    </row>
    <row r="75" spans="1:1">
      <c r="A75" s="412" t="s">
        <v>473</v>
      </c>
    </row>
  </sheetData>
  <sheetProtection sheet="1"/>
  <pageMargins left="0.7" right="0.7" top="0.75" bottom="0.75" header="0.3" footer="0.3"/>
  <pageSetup orientation="portrait" r:id="rId1"/>
  <headerFooter>
    <oddFooter>&amp;Lrevised 10/02/09</oddFooter>
  </headerFooter>
</worksheet>
</file>

<file path=xl/worksheets/sheet40.xml><?xml version="1.0" encoding="utf-8"?>
<worksheet xmlns="http://schemas.openxmlformats.org/spreadsheetml/2006/main" xmlns:r="http://schemas.openxmlformats.org/officeDocument/2006/relationships">
  <sheetPr>
    <tabColor rgb="FFFF0000"/>
  </sheetPr>
  <dimension ref="A3:G106"/>
  <sheetViews>
    <sheetView workbookViewId="0">
      <selection activeCell="A46" sqref="A46"/>
    </sheetView>
  </sheetViews>
  <sheetFormatPr defaultRowHeight="15"/>
  <cols>
    <col min="1" max="1" width="71.33203125" customWidth="1"/>
  </cols>
  <sheetData>
    <row r="3" spans="1:7">
      <c r="A3" s="411" t="s">
        <v>569</v>
      </c>
      <c r="B3" s="411"/>
      <c r="C3" s="411"/>
      <c r="D3" s="411"/>
      <c r="E3" s="411"/>
      <c r="F3" s="411"/>
      <c r="G3" s="411"/>
    </row>
    <row r="4" spans="1:7">
      <c r="A4" s="411"/>
      <c r="B4" s="411"/>
      <c r="C4" s="411"/>
      <c r="D4" s="411"/>
      <c r="E4" s="411"/>
      <c r="F4" s="411"/>
      <c r="G4" s="411"/>
    </row>
    <row r="5" spans="1:7">
      <c r="A5" s="412" t="s">
        <v>475</v>
      </c>
    </row>
    <row r="6" spans="1:7">
      <c r="A6" s="412" t="str">
        <f>CONCATENATE(inputPrYr!C10," estimated expenditures show that at the end of this year")</f>
        <v>2014 estimated expenditures show that at the end of this year</v>
      </c>
    </row>
    <row r="7" spans="1:7">
      <c r="A7" s="412" t="s">
        <v>570</v>
      </c>
    </row>
    <row r="8" spans="1:7">
      <c r="A8" s="412" t="s">
        <v>571</v>
      </c>
    </row>
    <row r="10" spans="1:7">
      <c r="A10" t="s">
        <v>477</v>
      </c>
    </row>
    <row r="11" spans="1:7">
      <c r="A11" t="s">
        <v>478</v>
      </c>
    </row>
    <row r="12" spans="1:7">
      <c r="A12" t="s">
        <v>479</v>
      </c>
    </row>
    <row r="13" spans="1:7">
      <c r="A13" s="411"/>
      <c r="B13" s="411"/>
      <c r="C13" s="411"/>
      <c r="D13" s="411"/>
      <c r="E13" s="411"/>
      <c r="F13" s="411"/>
      <c r="G13" s="411"/>
    </row>
    <row r="14" spans="1:7">
      <c r="A14" s="413" t="s">
        <v>572</v>
      </c>
    </row>
    <row r="15" spans="1:7">
      <c r="A15" s="412"/>
    </row>
    <row r="16" spans="1:7">
      <c r="A16" s="412" t="s">
        <v>573</v>
      </c>
    </row>
    <row r="17" spans="1:7">
      <c r="A17" s="412" t="s">
        <v>574</v>
      </c>
    </row>
    <row r="18" spans="1:7">
      <c r="A18" s="412" t="s">
        <v>575</v>
      </c>
    </row>
    <row r="19" spans="1:7">
      <c r="A19" s="412"/>
    </row>
    <row r="20" spans="1:7">
      <c r="A20" s="412" t="s">
        <v>576</v>
      </c>
    </row>
    <row r="21" spans="1:7">
      <c r="A21" s="412" t="s">
        <v>577</v>
      </c>
    </row>
    <row r="22" spans="1:7">
      <c r="A22" s="412" t="s">
        <v>578</v>
      </c>
    </row>
    <row r="23" spans="1:7">
      <c r="A23" s="412" t="s">
        <v>579</v>
      </c>
    </row>
    <row r="24" spans="1:7">
      <c r="A24" s="412"/>
    </row>
    <row r="25" spans="1:7">
      <c r="A25" s="413" t="s">
        <v>541</v>
      </c>
    </row>
    <row r="26" spans="1:7">
      <c r="A26" s="413"/>
    </row>
    <row r="27" spans="1:7">
      <c r="A27" s="412" t="s">
        <v>542</v>
      </c>
    </row>
    <row r="28" spans="1:7">
      <c r="A28" s="412" t="s">
        <v>543</v>
      </c>
      <c r="B28" s="412"/>
      <c r="C28" s="412"/>
      <c r="D28" s="412"/>
      <c r="E28" s="412"/>
      <c r="F28" s="412"/>
    </row>
    <row r="29" spans="1:7">
      <c r="A29" s="412" t="s">
        <v>544</v>
      </c>
      <c r="B29" s="412"/>
      <c r="C29" s="412"/>
      <c r="D29" s="412"/>
      <c r="E29" s="412"/>
      <c r="F29" s="412"/>
    </row>
    <row r="30" spans="1:7">
      <c r="A30" s="412" t="s">
        <v>545</v>
      </c>
      <c r="B30" s="412"/>
      <c r="C30" s="412"/>
      <c r="D30" s="412"/>
      <c r="E30" s="412"/>
      <c r="F30" s="412"/>
    </row>
    <row r="31" spans="1:7">
      <c r="A31" s="412"/>
    </row>
    <row r="32" spans="1:7">
      <c r="A32" s="413" t="s">
        <v>546</v>
      </c>
      <c r="B32" s="413"/>
      <c r="C32" s="413"/>
      <c r="D32" s="413"/>
      <c r="E32" s="413"/>
      <c r="F32" s="413"/>
      <c r="G32" s="413"/>
    </row>
    <row r="33" spans="1:7">
      <c r="A33" s="413" t="s">
        <v>547</v>
      </c>
      <c r="B33" s="413"/>
      <c r="C33" s="413"/>
      <c r="D33" s="413"/>
      <c r="E33" s="413"/>
      <c r="F33" s="413"/>
      <c r="G33" s="413"/>
    </row>
    <row r="34" spans="1:7">
      <c r="A34" s="413"/>
      <c r="B34" s="413"/>
      <c r="C34" s="413"/>
      <c r="D34" s="413"/>
      <c r="E34" s="413"/>
      <c r="F34" s="413"/>
      <c r="G34" s="413"/>
    </row>
    <row r="35" spans="1:7">
      <c r="A35" s="412" t="s">
        <v>580</v>
      </c>
      <c r="B35" s="412"/>
      <c r="C35" s="412"/>
      <c r="D35" s="412"/>
      <c r="E35" s="412"/>
      <c r="F35" s="412"/>
      <c r="G35" s="412"/>
    </row>
    <row r="36" spans="1:7">
      <c r="A36" s="412" t="s">
        <v>581</v>
      </c>
      <c r="B36" s="412"/>
      <c r="C36" s="412"/>
      <c r="D36" s="412"/>
      <c r="E36" s="412"/>
      <c r="F36" s="412"/>
      <c r="G36" s="412"/>
    </row>
    <row r="37" spans="1:7">
      <c r="A37" s="412" t="s">
        <v>582</v>
      </c>
      <c r="B37" s="412"/>
      <c r="C37" s="412"/>
      <c r="D37" s="412"/>
      <c r="E37" s="412"/>
      <c r="F37" s="412"/>
      <c r="G37" s="412"/>
    </row>
    <row r="38" spans="1:7">
      <c r="A38" s="412" t="s">
        <v>583</v>
      </c>
      <c r="B38" s="412"/>
      <c r="C38" s="412"/>
      <c r="D38" s="412"/>
      <c r="E38" s="412"/>
      <c r="F38" s="412"/>
      <c r="G38" s="412"/>
    </row>
    <row r="39" spans="1:7">
      <c r="A39" s="412" t="s">
        <v>584</v>
      </c>
      <c r="B39" s="412"/>
      <c r="C39" s="412"/>
      <c r="D39" s="412"/>
      <c r="E39" s="412"/>
      <c r="F39" s="412"/>
      <c r="G39" s="412"/>
    </row>
    <row r="40" spans="1:7">
      <c r="A40" s="413"/>
      <c r="B40" s="413"/>
      <c r="C40" s="413"/>
      <c r="D40" s="413"/>
      <c r="E40" s="413"/>
      <c r="F40" s="413"/>
      <c r="G40" s="413"/>
    </row>
    <row r="41" spans="1:7">
      <c r="A41" s="416" t="str">
        <f>CONCATENATE("So, let's look to see if any of your ",inputPrYr!C10-1," expenditures can")</f>
        <v>So, let's look to see if any of your 2013 expenditures can</v>
      </c>
      <c r="B41" s="412"/>
      <c r="C41" s="412"/>
      <c r="D41" s="412"/>
      <c r="E41" s="412"/>
      <c r="F41" s="412"/>
    </row>
    <row r="42" spans="1:7">
      <c r="A42" s="416" t="s">
        <v>548</v>
      </c>
      <c r="B42" s="412"/>
      <c r="C42" s="412"/>
      <c r="D42" s="412"/>
      <c r="E42" s="412"/>
      <c r="F42" s="412"/>
    </row>
    <row r="43" spans="1:7">
      <c r="A43" s="416" t="s">
        <v>432</v>
      </c>
      <c r="B43" s="412"/>
      <c r="C43" s="412"/>
      <c r="D43" s="412"/>
      <c r="E43" s="412"/>
      <c r="F43" s="412"/>
    </row>
    <row r="44" spans="1:7">
      <c r="A44" s="416" t="s">
        <v>433</v>
      </c>
      <c r="B44" s="412"/>
      <c r="C44" s="412"/>
      <c r="D44" s="412"/>
      <c r="E44" s="412"/>
      <c r="F44" s="412"/>
    </row>
    <row r="45" spans="1:7">
      <c r="A45" s="412"/>
    </row>
    <row r="46" spans="1:7">
      <c r="A46" s="416" t="str">
        <f>CONCATENATE("Additionally, do your ",inputPrYr!C10-1," receipts contain a reimbursement")</f>
        <v>Additionally, do your 2013 receipts contain a reimbursement</v>
      </c>
      <c r="B46" s="412"/>
      <c r="C46" s="412"/>
      <c r="D46" s="412"/>
      <c r="E46" s="412"/>
      <c r="F46" s="412"/>
    </row>
    <row r="47" spans="1:7">
      <c r="A47" s="416" t="s">
        <v>434</v>
      </c>
      <c r="B47" s="412"/>
      <c r="C47" s="412"/>
      <c r="D47" s="412"/>
      <c r="E47" s="412"/>
      <c r="F47" s="412"/>
    </row>
    <row r="48" spans="1:7">
      <c r="A48" s="416" t="s">
        <v>435</v>
      </c>
      <c r="B48" s="412"/>
      <c r="C48" s="412"/>
      <c r="D48" s="412"/>
      <c r="E48" s="412"/>
      <c r="F48" s="412"/>
    </row>
    <row r="49" spans="1:7">
      <c r="A49" s="412"/>
      <c r="B49" s="412"/>
      <c r="C49" s="412"/>
      <c r="D49" s="412"/>
      <c r="E49" s="412"/>
      <c r="F49" s="412"/>
      <c r="G49" s="412"/>
    </row>
    <row r="50" spans="1:7">
      <c r="A50" s="412" t="s">
        <v>502</v>
      </c>
      <c r="B50" s="412"/>
      <c r="C50" s="412"/>
      <c r="D50" s="412"/>
      <c r="E50" s="412"/>
      <c r="F50" s="412"/>
      <c r="G50" s="412"/>
    </row>
    <row r="51" spans="1:7">
      <c r="A51" s="412" t="s">
        <v>503</v>
      </c>
      <c r="B51" s="412"/>
      <c r="C51" s="412"/>
      <c r="D51" s="412"/>
      <c r="E51" s="412"/>
      <c r="F51" s="412"/>
      <c r="G51" s="412"/>
    </row>
    <row r="52" spans="1:7">
      <c r="A52" s="412" t="s">
        <v>504</v>
      </c>
      <c r="B52" s="412"/>
      <c r="C52" s="412"/>
      <c r="D52" s="412"/>
      <c r="E52" s="412"/>
      <c r="F52" s="412"/>
      <c r="G52" s="412"/>
    </row>
    <row r="53" spans="1:7">
      <c r="A53" s="412" t="s">
        <v>505</v>
      </c>
      <c r="B53" s="412"/>
      <c r="C53" s="412"/>
      <c r="D53" s="412"/>
      <c r="E53" s="412"/>
      <c r="F53" s="412"/>
      <c r="G53" s="412"/>
    </row>
    <row r="54" spans="1:7">
      <c r="A54" s="412" t="s">
        <v>506</v>
      </c>
      <c r="B54" s="412"/>
      <c r="C54" s="412"/>
      <c r="D54" s="412"/>
      <c r="E54" s="412"/>
      <c r="F54" s="412"/>
      <c r="G54" s="412"/>
    </row>
    <row r="55" spans="1:7">
      <c r="A55" s="412"/>
      <c r="B55" s="412"/>
      <c r="C55" s="412"/>
      <c r="D55" s="412"/>
      <c r="E55" s="412"/>
      <c r="F55" s="412"/>
      <c r="G55" s="412"/>
    </row>
    <row r="56" spans="1:7">
      <c r="A56" s="416" t="s">
        <v>444</v>
      </c>
      <c r="B56" s="412"/>
      <c r="C56" s="412"/>
      <c r="D56" s="412"/>
      <c r="E56" s="412"/>
      <c r="F56" s="412"/>
    </row>
    <row r="57" spans="1:7">
      <c r="A57" s="416" t="s">
        <v>445</v>
      </c>
      <c r="B57" s="412"/>
      <c r="C57" s="412"/>
      <c r="D57" s="412"/>
      <c r="E57" s="412"/>
      <c r="F57" s="412"/>
    </row>
    <row r="58" spans="1:7">
      <c r="A58" s="416" t="s">
        <v>446</v>
      </c>
      <c r="B58" s="412"/>
      <c r="C58" s="412"/>
      <c r="D58" s="412"/>
      <c r="E58" s="412"/>
      <c r="F58" s="412"/>
    </row>
    <row r="59" spans="1:7">
      <c r="A59" s="416"/>
      <c r="B59" s="412"/>
      <c r="C59" s="412"/>
      <c r="D59" s="412"/>
      <c r="E59" s="412"/>
      <c r="F59" s="412"/>
    </row>
    <row r="60" spans="1:7">
      <c r="A60" s="412" t="s">
        <v>585</v>
      </c>
      <c r="B60" s="412"/>
      <c r="C60" s="412"/>
      <c r="D60" s="412"/>
      <c r="E60" s="412"/>
      <c r="F60" s="412"/>
      <c r="G60" s="412"/>
    </row>
    <row r="61" spans="1:7">
      <c r="A61" s="412" t="s">
        <v>586</v>
      </c>
      <c r="B61" s="412"/>
      <c r="C61" s="412"/>
      <c r="D61" s="412"/>
      <c r="E61" s="412"/>
      <c r="F61" s="412"/>
      <c r="G61" s="412"/>
    </row>
    <row r="62" spans="1:7">
      <c r="A62" s="412" t="s">
        <v>587</v>
      </c>
      <c r="B62" s="412"/>
      <c r="C62" s="412"/>
      <c r="D62" s="412"/>
      <c r="E62" s="412"/>
      <c r="F62" s="412"/>
      <c r="G62" s="412"/>
    </row>
    <row r="63" spans="1:7">
      <c r="A63" s="412" t="s">
        <v>588</v>
      </c>
      <c r="B63" s="412"/>
      <c r="C63" s="412"/>
      <c r="D63" s="412"/>
      <c r="E63" s="412"/>
      <c r="F63" s="412"/>
      <c r="G63" s="412"/>
    </row>
    <row r="64" spans="1:7">
      <c r="A64" s="412" t="s">
        <v>589</v>
      </c>
      <c r="B64" s="412"/>
      <c r="C64" s="412"/>
      <c r="D64" s="412"/>
      <c r="E64" s="412"/>
      <c r="F64" s="412"/>
      <c r="G64" s="412"/>
    </row>
    <row r="66" spans="1:6">
      <c r="A66" s="416" t="s">
        <v>552</v>
      </c>
      <c r="B66" s="412"/>
      <c r="C66" s="412"/>
      <c r="D66" s="412"/>
      <c r="E66" s="412"/>
      <c r="F66" s="412"/>
    </row>
    <row r="67" spans="1:6">
      <c r="A67" s="416" t="s">
        <v>553</v>
      </c>
      <c r="B67" s="412"/>
      <c r="C67" s="412"/>
      <c r="D67" s="412"/>
      <c r="E67" s="412"/>
      <c r="F67" s="412"/>
    </row>
    <row r="68" spans="1:6">
      <c r="A68" s="416" t="s">
        <v>554</v>
      </c>
      <c r="B68" s="412"/>
      <c r="C68" s="412"/>
      <c r="D68" s="412"/>
      <c r="E68" s="412"/>
      <c r="F68" s="412"/>
    </row>
    <row r="69" spans="1:6">
      <c r="A69" s="416" t="s">
        <v>555</v>
      </c>
      <c r="B69" s="412"/>
      <c r="C69" s="412"/>
      <c r="D69" s="412"/>
      <c r="E69" s="412"/>
      <c r="F69" s="412"/>
    </row>
    <row r="70" spans="1:6">
      <c r="A70" s="416" t="s">
        <v>556</v>
      </c>
      <c r="B70" s="412"/>
      <c r="C70" s="412"/>
      <c r="D70" s="412"/>
      <c r="E70" s="412"/>
      <c r="F70" s="412"/>
    </row>
    <row r="71" spans="1:6">
      <c r="A71" s="412"/>
    </row>
    <row r="72" spans="1:6">
      <c r="A72" s="412" t="s">
        <v>473</v>
      </c>
    </row>
    <row r="73" spans="1:6">
      <c r="A73" s="412"/>
    </row>
    <row r="74" spans="1:6">
      <c r="A74" s="412"/>
    </row>
    <row r="75" spans="1:6">
      <c r="A75" s="412"/>
    </row>
    <row r="78" spans="1:6">
      <c r="A78" s="413"/>
    </row>
    <row r="80" spans="1:6">
      <c r="A80" s="412"/>
    </row>
    <row r="81" spans="1:1">
      <c r="A81" s="412"/>
    </row>
    <row r="82" spans="1:1">
      <c r="A82" s="412"/>
    </row>
    <row r="83" spans="1:1">
      <c r="A83" s="412"/>
    </row>
    <row r="84" spans="1:1">
      <c r="A84" s="412"/>
    </row>
    <row r="85" spans="1:1">
      <c r="A85" s="412"/>
    </row>
    <row r="86" spans="1:1">
      <c r="A86" s="412"/>
    </row>
    <row r="87" spans="1:1">
      <c r="A87" s="412"/>
    </row>
    <row r="88" spans="1:1">
      <c r="A88" s="412"/>
    </row>
    <row r="89" spans="1:1">
      <c r="A89" s="412"/>
    </row>
    <row r="90" spans="1:1">
      <c r="A90" s="412"/>
    </row>
    <row r="92" spans="1:1">
      <c r="A92" s="412"/>
    </row>
    <row r="93" spans="1:1">
      <c r="A93" s="412"/>
    </row>
    <row r="94" spans="1:1">
      <c r="A94" s="412"/>
    </row>
    <row r="95" spans="1:1">
      <c r="A95" s="412"/>
    </row>
    <row r="96" spans="1:1">
      <c r="A96" s="412"/>
    </row>
    <row r="97" spans="1:1">
      <c r="A97" s="412"/>
    </row>
    <row r="98" spans="1:1">
      <c r="A98" s="412"/>
    </row>
    <row r="99" spans="1:1">
      <c r="A99" s="412"/>
    </row>
    <row r="100" spans="1:1">
      <c r="A100" s="412"/>
    </row>
    <row r="101" spans="1:1">
      <c r="A101" s="412"/>
    </row>
    <row r="102" spans="1:1">
      <c r="A102" s="412"/>
    </row>
    <row r="103" spans="1:1">
      <c r="A103" s="412"/>
    </row>
    <row r="104" spans="1:1">
      <c r="A104" s="412"/>
    </row>
    <row r="105" spans="1:1">
      <c r="A105" s="412"/>
    </row>
    <row r="106" spans="1:1">
      <c r="A106" s="412"/>
    </row>
  </sheetData>
  <sheetProtection sheet="1" objects="1" scenarios="1"/>
  <pageMargins left="0.7" right="0.7" top="0.75" bottom="0.75" header="0.3" footer="0.3"/>
  <pageSetup orientation="portrait" r:id="rId1"/>
  <headerFooter>
    <oddFooter>&amp;Lrevised 10/02/09</oddFooter>
  </headerFooter>
</worksheet>
</file>

<file path=xl/worksheets/sheet41.xml><?xml version="1.0" encoding="utf-8"?>
<worksheet xmlns="http://schemas.openxmlformats.org/spreadsheetml/2006/main" xmlns:r="http://schemas.openxmlformats.org/officeDocument/2006/relationships">
  <sheetPr>
    <tabColor rgb="FFFF0000"/>
  </sheetPr>
  <dimension ref="A3:H52"/>
  <sheetViews>
    <sheetView workbookViewId="0">
      <selection activeCell="A8" sqref="A8"/>
    </sheetView>
  </sheetViews>
  <sheetFormatPr defaultRowHeight="15"/>
  <cols>
    <col min="1" max="1" width="71.33203125" customWidth="1"/>
  </cols>
  <sheetData>
    <row r="3" spans="1:7">
      <c r="A3" s="411" t="s">
        <v>590</v>
      </c>
      <c r="B3" s="411"/>
      <c r="C3" s="411"/>
      <c r="D3" s="411"/>
      <c r="E3" s="411"/>
      <c r="F3" s="411"/>
      <c r="G3" s="411"/>
    </row>
    <row r="4" spans="1:7">
      <c r="A4" s="411" t="s">
        <v>591</v>
      </c>
      <c r="B4" s="411"/>
      <c r="C4" s="411"/>
      <c r="D4" s="411"/>
      <c r="E4" s="411"/>
      <c r="F4" s="411"/>
      <c r="G4" s="411"/>
    </row>
    <row r="5" spans="1:7">
      <c r="A5" s="411"/>
      <c r="B5" s="411"/>
      <c r="C5" s="411"/>
      <c r="D5" s="411"/>
      <c r="E5" s="411"/>
      <c r="F5" s="411"/>
      <c r="G5" s="411"/>
    </row>
    <row r="6" spans="1:7">
      <c r="A6" s="411"/>
      <c r="B6" s="411"/>
      <c r="C6" s="411"/>
      <c r="D6" s="411"/>
      <c r="E6" s="411"/>
      <c r="F6" s="411"/>
      <c r="G6" s="411"/>
    </row>
    <row r="7" spans="1:7">
      <c r="A7" s="412" t="s">
        <v>418</v>
      </c>
    </row>
    <row r="8" spans="1:7">
      <c r="A8" s="412" t="str">
        <f>CONCATENATE("estimated ",inputPrYr!C10," 'total expenditures' exceed your ",inputPrYr!C10,"")</f>
        <v>estimated 2014 'total expenditures' exceed your 2014</v>
      </c>
    </row>
    <row r="9" spans="1:7">
      <c r="A9" s="415" t="s">
        <v>592</v>
      </c>
    </row>
    <row r="10" spans="1:7">
      <c r="A10" s="412"/>
    </row>
    <row r="11" spans="1:7">
      <c r="A11" s="412" t="s">
        <v>593</v>
      </c>
    </row>
    <row r="12" spans="1:7">
      <c r="A12" s="412" t="s">
        <v>594</v>
      </c>
    </row>
    <row r="13" spans="1:7">
      <c r="A13" s="412" t="s">
        <v>595</v>
      </c>
    </row>
    <row r="14" spans="1:7">
      <c r="A14" s="412"/>
    </row>
    <row r="15" spans="1:7">
      <c r="A15" s="413" t="s">
        <v>596</v>
      </c>
    </row>
    <row r="16" spans="1:7">
      <c r="A16" s="411"/>
      <c r="B16" s="411"/>
      <c r="C16" s="411"/>
      <c r="D16" s="411"/>
      <c r="E16" s="411"/>
      <c r="F16" s="411"/>
      <c r="G16" s="411"/>
    </row>
    <row r="17" spans="1:8">
      <c r="A17" s="418" t="s">
        <v>597</v>
      </c>
      <c r="B17" s="419"/>
      <c r="C17" s="419"/>
      <c r="D17" s="419"/>
      <c r="E17" s="419"/>
      <c r="F17" s="419"/>
      <c r="G17" s="419"/>
      <c r="H17" s="419"/>
    </row>
    <row r="18" spans="1:8">
      <c r="A18" s="412" t="s">
        <v>598</v>
      </c>
      <c r="B18" s="420"/>
      <c r="C18" s="420"/>
      <c r="D18" s="420"/>
      <c r="E18" s="420"/>
      <c r="F18" s="420"/>
      <c r="G18" s="420"/>
    </row>
    <row r="19" spans="1:8">
      <c r="A19" s="412" t="s">
        <v>599</v>
      </c>
    </row>
    <row r="20" spans="1:8">
      <c r="A20" s="412" t="s">
        <v>600</v>
      </c>
    </row>
    <row r="22" spans="1:8">
      <c r="A22" s="413" t="s">
        <v>601</v>
      </c>
    </row>
    <row r="24" spans="1:8">
      <c r="A24" s="412" t="s">
        <v>602</v>
      </c>
    </row>
    <row r="25" spans="1:8">
      <c r="A25" s="412" t="s">
        <v>603</v>
      </c>
    </row>
    <row r="26" spans="1:8">
      <c r="A26" s="412" t="s">
        <v>604</v>
      </c>
    </row>
    <row r="28" spans="1:8">
      <c r="A28" s="413" t="s">
        <v>605</v>
      </c>
    </row>
    <row r="30" spans="1:8">
      <c r="A30" t="s">
        <v>606</v>
      </c>
    </row>
    <row r="31" spans="1:8">
      <c r="A31" t="s">
        <v>607</v>
      </c>
    </row>
    <row r="32" spans="1:8">
      <c r="A32" t="s">
        <v>608</v>
      </c>
    </row>
    <row r="33" spans="1:1">
      <c r="A33" s="412" t="s">
        <v>609</v>
      </c>
    </row>
    <row r="35" spans="1:1">
      <c r="A35" t="s">
        <v>610</v>
      </c>
    </row>
    <row r="36" spans="1:1">
      <c r="A36" t="s">
        <v>611</v>
      </c>
    </row>
    <row r="37" spans="1:1">
      <c r="A37" t="s">
        <v>612</v>
      </c>
    </row>
    <row r="38" spans="1:1">
      <c r="A38" t="s">
        <v>613</v>
      </c>
    </row>
    <row r="40" spans="1:1">
      <c r="A40" t="s">
        <v>614</v>
      </c>
    </row>
    <row r="41" spans="1:1">
      <c r="A41" t="s">
        <v>615</v>
      </c>
    </row>
    <row r="42" spans="1:1">
      <c r="A42" t="s">
        <v>616</v>
      </c>
    </row>
    <row r="43" spans="1:1">
      <c r="A43" t="s">
        <v>617</v>
      </c>
    </row>
    <row r="44" spans="1:1">
      <c r="A44" t="s">
        <v>618</v>
      </c>
    </row>
    <row r="45" spans="1:1">
      <c r="A45" t="s">
        <v>619</v>
      </c>
    </row>
    <row r="47" spans="1:1">
      <c r="A47" t="s">
        <v>620</v>
      </c>
    </row>
    <row r="48" spans="1:1">
      <c r="A48" t="s">
        <v>621</v>
      </c>
    </row>
    <row r="49" spans="1:1">
      <c r="A49" s="412" t="s">
        <v>622</v>
      </c>
    </row>
    <row r="50" spans="1:1">
      <c r="A50" s="412" t="s">
        <v>623</v>
      </c>
    </row>
    <row r="52" spans="1:1">
      <c r="A52" t="s">
        <v>473</v>
      </c>
    </row>
  </sheetData>
  <sheetProtection sheet="1"/>
  <pageMargins left="0.7" right="0.7" top="0.75" bottom="0.75" header="0.3" footer="0.3"/>
  <pageSetup orientation="portrait" r:id="rId1"/>
  <headerFooter>
    <oddFooter>&amp;Lrevised 10/02/09</oddFooter>
  </headerFooter>
</worksheet>
</file>

<file path=xl/worksheets/sheet42.xml><?xml version="1.0" encoding="utf-8"?>
<worksheet xmlns="http://schemas.openxmlformats.org/spreadsheetml/2006/main" xmlns:r="http://schemas.openxmlformats.org/officeDocument/2006/relationships">
  <dimension ref="A1:X354"/>
  <sheetViews>
    <sheetView topLeftCell="A55" zoomScaleNormal="100" workbookViewId="0">
      <selection sqref="A1:IV65536"/>
    </sheetView>
  </sheetViews>
  <sheetFormatPr defaultColWidth="8.88671875" defaultRowHeight="14.25"/>
  <cols>
    <col min="1" max="1" width="7.5546875" style="509" customWidth="1"/>
    <col min="2" max="2" width="11.21875" style="508" customWidth="1"/>
    <col min="3" max="3" width="7.44140625" style="508" customWidth="1"/>
    <col min="4" max="4" width="8.88671875" style="508"/>
    <col min="5" max="5" width="1.5546875" style="508" customWidth="1"/>
    <col min="6" max="6" width="14.33203125" style="508" customWidth="1"/>
    <col min="7" max="7" width="2.5546875" style="508" customWidth="1"/>
    <col min="8" max="8" width="9.77734375" style="508" customWidth="1"/>
    <col min="9" max="9" width="2" style="508" customWidth="1"/>
    <col min="10" max="10" width="8.5546875" style="508" customWidth="1"/>
    <col min="11" max="11" width="11.6640625" style="508" customWidth="1"/>
    <col min="12" max="12" width="7.5546875" style="509" customWidth="1"/>
    <col min="13" max="14" width="8.88671875" style="509"/>
    <col min="15" max="15" width="9.88671875" style="509" bestFit="1" customWidth="1"/>
    <col min="16" max="16384" width="8.88671875" style="509"/>
  </cols>
  <sheetData>
    <row r="1" spans="1:12">
      <c r="A1" s="510"/>
      <c r="B1" s="510"/>
      <c r="C1" s="510"/>
      <c r="D1" s="510"/>
      <c r="E1" s="510"/>
      <c r="F1" s="510"/>
      <c r="G1" s="510"/>
      <c r="H1" s="510"/>
      <c r="I1" s="510"/>
      <c r="J1" s="510"/>
      <c r="K1" s="510"/>
      <c r="L1" s="510"/>
    </row>
    <row r="2" spans="1:12">
      <c r="A2" s="510"/>
      <c r="B2" s="510"/>
      <c r="C2" s="510"/>
      <c r="D2" s="510"/>
      <c r="E2" s="510"/>
      <c r="F2" s="510"/>
      <c r="G2" s="510"/>
      <c r="H2" s="510"/>
      <c r="I2" s="510"/>
      <c r="J2" s="510"/>
      <c r="K2" s="510"/>
      <c r="L2" s="510"/>
    </row>
    <row r="3" spans="1:12">
      <c r="A3" s="510"/>
      <c r="B3" s="510"/>
      <c r="C3" s="510"/>
      <c r="D3" s="510"/>
      <c r="E3" s="510"/>
      <c r="F3" s="510"/>
      <c r="G3" s="510"/>
      <c r="H3" s="510"/>
      <c r="I3" s="510"/>
      <c r="J3" s="510"/>
      <c r="K3" s="510"/>
      <c r="L3" s="510"/>
    </row>
    <row r="4" spans="1:12">
      <c r="A4" s="510"/>
      <c r="L4" s="510"/>
    </row>
    <row r="5" spans="1:12" ht="15" customHeight="1">
      <c r="A5" s="510"/>
      <c r="L5" s="510"/>
    </row>
    <row r="6" spans="1:12" ht="33" customHeight="1">
      <c r="A6" s="510"/>
      <c r="B6" s="956" t="s">
        <v>696</v>
      </c>
      <c r="C6" s="957"/>
      <c r="D6" s="957"/>
      <c r="E6" s="957"/>
      <c r="F6" s="957"/>
      <c r="G6" s="957"/>
      <c r="H6" s="957"/>
      <c r="I6" s="957"/>
      <c r="J6" s="957"/>
      <c r="K6" s="957"/>
      <c r="L6" s="507"/>
    </row>
    <row r="7" spans="1:12" ht="40.5" customHeight="1">
      <c r="A7" s="510"/>
      <c r="B7" s="958" t="s">
        <v>697</v>
      </c>
      <c r="C7" s="959"/>
      <c r="D7" s="959"/>
      <c r="E7" s="959"/>
      <c r="F7" s="959"/>
      <c r="G7" s="959"/>
      <c r="H7" s="959"/>
      <c r="I7" s="959"/>
      <c r="J7" s="959"/>
      <c r="K7" s="959"/>
      <c r="L7" s="510"/>
    </row>
    <row r="8" spans="1:12">
      <c r="A8" s="510"/>
      <c r="B8" s="960" t="s">
        <v>698</v>
      </c>
      <c r="C8" s="960"/>
      <c r="D8" s="960"/>
      <c r="E8" s="960"/>
      <c r="F8" s="960"/>
      <c r="G8" s="960"/>
      <c r="H8" s="960"/>
      <c r="I8" s="960"/>
      <c r="J8" s="960"/>
      <c r="K8" s="960"/>
      <c r="L8" s="510"/>
    </row>
    <row r="9" spans="1:12">
      <c r="A9" s="510"/>
      <c r="L9" s="510"/>
    </row>
    <row r="10" spans="1:12">
      <c r="A10" s="510"/>
      <c r="B10" s="960" t="s">
        <v>699</v>
      </c>
      <c r="C10" s="960"/>
      <c r="D10" s="960"/>
      <c r="E10" s="960"/>
      <c r="F10" s="960"/>
      <c r="G10" s="960"/>
      <c r="H10" s="960"/>
      <c r="I10" s="960"/>
      <c r="J10" s="960"/>
      <c r="K10" s="960"/>
      <c r="L10" s="510"/>
    </row>
    <row r="11" spans="1:12">
      <c r="A11" s="510"/>
      <c r="B11" s="609"/>
      <c r="C11" s="609"/>
      <c r="D11" s="609"/>
      <c r="E11" s="609"/>
      <c r="F11" s="609"/>
      <c r="G11" s="609"/>
      <c r="H11" s="609"/>
      <c r="I11" s="609"/>
      <c r="J11" s="609"/>
      <c r="K11" s="609"/>
      <c r="L11" s="510"/>
    </row>
    <row r="12" spans="1:12" ht="32.25" customHeight="1">
      <c r="A12" s="510"/>
      <c r="B12" s="961" t="s">
        <v>700</v>
      </c>
      <c r="C12" s="961"/>
      <c r="D12" s="961"/>
      <c r="E12" s="961"/>
      <c r="F12" s="961"/>
      <c r="G12" s="961"/>
      <c r="H12" s="961"/>
      <c r="I12" s="961"/>
      <c r="J12" s="961"/>
      <c r="K12" s="961"/>
      <c r="L12" s="510"/>
    </row>
    <row r="13" spans="1:12">
      <c r="A13" s="510"/>
      <c r="L13" s="510"/>
    </row>
    <row r="14" spans="1:12">
      <c r="A14" s="510"/>
      <c r="B14" s="506" t="s">
        <v>701</v>
      </c>
      <c r="L14" s="510"/>
    </row>
    <row r="15" spans="1:12">
      <c r="A15" s="510"/>
      <c r="L15" s="510"/>
    </row>
    <row r="16" spans="1:12">
      <c r="A16" s="510"/>
      <c r="B16" s="508" t="s">
        <v>702</v>
      </c>
      <c r="L16" s="510"/>
    </row>
    <row r="17" spans="1:12">
      <c r="A17" s="510"/>
      <c r="B17" s="508" t="s">
        <v>703</v>
      </c>
      <c r="L17" s="510"/>
    </row>
    <row r="18" spans="1:12">
      <c r="A18" s="510"/>
      <c r="L18" s="510"/>
    </row>
    <row r="19" spans="1:12">
      <c r="A19" s="510"/>
      <c r="B19" s="506" t="s">
        <v>883</v>
      </c>
      <c r="L19" s="510"/>
    </row>
    <row r="20" spans="1:12">
      <c r="A20" s="510"/>
      <c r="B20" s="506"/>
      <c r="L20" s="510"/>
    </row>
    <row r="21" spans="1:12">
      <c r="A21" s="510"/>
      <c r="B21" s="508" t="s">
        <v>884</v>
      </c>
      <c r="L21" s="510"/>
    </row>
    <row r="22" spans="1:12">
      <c r="A22" s="510"/>
      <c r="L22" s="510"/>
    </row>
    <row r="23" spans="1:12">
      <c r="A23" s="510"/>
      <c r="B23" s="508" t="s">
        <v>704</v>
      </c>
      <c r="E23" s="508" t="s">
        <v>705</v>
      </c>
      <c r="F23" s="955">
        <v>312000000</v>
      </c>
      <c r="G23" s="955"/>
      <c r="L23" s="510"/>
    </row>
    <row r="24" spans="1:12">
      <c r="A24" s="510"/>
      <c r="L24" s="510"/>
    </row>
    <row r="25" spans="1:12">
      <c r="A25" s="510"/>
      <c r="C25" s="954">
        <f>F23</f>
        <v>312000000</v>
      </c>
      <c r="D25" s="954"/>
      <c r="E25" s="508" t="s">
        <v>706</v>
      </c>
      <c r="F25" s="505">
        <v>1000</v>
      </c>
      <c r="G25" s="505" t="s">
        <v>705</v>
      </c>
      <c r="H25" s="610">
        <f>F23/F25</f>
        <v>312000</v>
      </c>
      <c r="L25" s="510"/>
    </row>
    <row r="26" spans="1:12" ht="15" thickBot="1">
      <c r="A26" s="510"/>
      <c r="L26" s="510"/>
    </row>
    <row r="27" spans="1:12">
      <c r="A27" s="510"/>
      <c r="B27" s="504" t="s">
        <v>701</v>
      </c>
      <c r="C27" s="503"/>
      <c r="D27" s="503"/>
      <c r="E27" s="503"/>
      <c r="F27" s="503"/>
      <c r="G27" s="503"/>
      <c r="H27" s="503"/>
      <c r="I27" s="503"/>
      <c r="J27" s="503"/>
      <c r="K27" s="502"/>
      <c r="L27" s="510"/>
    </row>
    <row r="28" spans="1:12">
      <c r="A28" s="510"/>
      <c r="B28" s="501">
        <f>F23</f>
        <v>312000000</v>
      </c>
      <c r="C28" s="500" t="s">
        <v>707</v>
      </c>
      <c r="D28" s="500"/>
      <c r="E28" s="500" t="s">
        <v>706</v>
      </c>
      <c r="F28" s="612">
        <v>1000</v>
      </c>
      <c r="G28" s="612" t="s">
        <v>705</v>
      </c>
      <c r="H28" s="499">
        <f>B28/F28</f>
        <v>312000</v>
      </c>
      <c r="I28" s="500" t="s">
        <v>708</v>
      </c>
      <c r="J28" s="500"/>
      <c r="K28" s="498"/>
      <c r="L28" s="510"/>
    </row>
    <row r="29" spans="1:12" ht="15" thickBot="1">
      <c r="A29" s="510"/>
      <c r="B29" s="449"/>
      <c r="C29" s="495"/>
      <c r="D29" s="495"/>
      <c r="E29" s="495"/>
      <c r="F29" s="495"/>
      <c r="G29" s="495"/>
      <c r="H29" s="495"/>
      <c r="I29" s="495"/>
      <c r="J29" s="495"/>
      <c r="K29" s="494"/>
      <c r="L29" s="510"/>
    </row>
    <row r="30" spans="1:12" ht="40.5" customHeight="1">
      <c r="A30" s="510"/>
      <c r="B30" s="969" t="s">
        <v>697</v>
      </c>
      <c r="C30" s="969"/>
      <c r="D30" s="969"/>
      <c r="E30" s="969"/>
      <c r="F30" s="969"/>
      <c r="G30" s="969"/>
      <c r="H30" s="969"/>
      <c r="I30" s="969"/>
      <c r="J30" s="969"/>
      <c r="K30" s="969"/>
      <c r="L30" s="510"/>
    </row>
    <row r="31" spans="1:12">
      <c r="A31" s="510"/>
      <c r="B31" s="960" t="s">
        <v>709</v>
      </c>
      <c r="C31" s="960"/>
      <c r="D31" s="960"/>
      <c r="E31" s="960"/>
      <c r="F31" s="960"/>
      <c r="G31" s="960"/>
      <c r="H31" s="960"/>
      <c r="I31" s="960"/>
      <c r="J31" s="960"/>
      <c r="K31" s="960"/>
      <c r="L31" s="510"/>
    </row>
    <row r="32" spans="1:12">
      <c r="A32" s="510"/>
      <c r="L32" s="510"/>
    </row>
    <row r="33" spans="1:12">
      <c r="A33" s="510"/>
      <c r="B33" s="960" t="s">
        <v>710</v>
      </c>
      <c r="C33" s="960"/>
      <c r="D33" s="960"/>
      <c r="E33" s="960"/>
      <c r="F33" s="960"/>
      <c r="G33" s="960"/>
      <c r="H33" s="960"/>
      <c r="I33" s="960"/>
      <c r="J33" s="960"/>
      <c r="K33" s="960"/>
      <c r="L33" s="510"/>
    </row>
    <row r="34" spans="1:12">
      <c r="A34" s="510"/>
      <c r="L34" s="510"/>
    </row>
    <row r="35" spans="1:12" ht="89.25" customHeight="1">
      <c r="A35" s="510"/>
      <c r="B35" s="961" t="s">
        <v>711</v>
      </c>
      <c r="C35" s="966"/>
      <c r="D35" s="966"/>
      <c r="E35" s="966"/>
      <c r="F35" s="966"/>
      <c r="G35" s="966"/>
      <c r="H35" s="966"/>
      <c r="I35" s="966"/>
      <c r="J35" s="966"/>
      <c r="K35" s="966"/>
      <c r="L35" s="510"/>
    </row>
    <row r="36" spans="1:12">
      <c r="A36" s="510"/>
      <c r="L36" s="510"/>
    </row>
    <row r="37" spans="1:12">
      <c r="A37" s="510"/>
      <c r="B37" s="506" t="s">
        <v>712</v>
      </c>
      <c r="L37" s="510"/>
    </row>
    <row r="38" spans="1:12">
      <c r="A38" s="510"/>
      <c r="L38" s="510"/>
    </row>
    <row r="39" spans="1:12">
      <c r="A39" s="510"/>
      <c r="B39" s="508" t="s">
        <v>713</v>
      </c>
      <c r="L39" s="510"/>
    </row>
    <row r="40" spans="1:12">
      <c r="A40" s="510"/>
      <c r="L40" s="510"/>
    </row>
    <row r="41" spans="1:12">
      <c r="A41" s="510"/>
      <c r="C41" s="970">
        <v>312000000</v>
      </c>
      <c r="D41" s="970"/>
      <c r="E41" s="508" t="s">
        <v>706</v>
      </c>
      <c r="F41" s="505">
        <v>1000</v>
      </c>
      <c r="G41" s="505" t="s">
        <v>705</v>
      </c>
      <c r="H41" s="450">
        <f>C41/F41</f>
        <v>312000</v>
      </c>
      <c r="L41" s="510"/>
    </row>
    <row r="42" spans="1:12">
      <c r="A42" s="510"/>
      <c r="L42" s="510"/>
    </row>
    <row r="43" spans="1:12">
      <c r="A43" s="510"/>
      <c r="B43" s="508" t="s">
        <v>714</v>
      </c>
      <c r="L43" s="510"/>
    </row>
    <row r="44" spans="1:12">
      <c r="A44" s="510"/>
      <c r="L44" s="510"/>
    </row>
    <row r="45" spans="1:12">
      <c r="A45" s="510"/>
      <c r="B45" s="508" t="s">
        <v>715</v>
      </c>
      <c r="L45" s="510"/>
    </row>
    <row r="46" spans="1:12" ht="15" thickBot="1">
      <c r="A46" s="510"/>
      <c r="L46" s="510"/>
    </row>
    <row r="47" spans="1:12">
      <c r="A47" s="510"/>
      <c r="B47" s="451" t="s">
        <v>701</v>
      </c>
      <c r="C47" s="503"/>
      <c r="D47" s="503"/>
      <c r="E47" s="503"/>
      <c r="F47" s="503"/>
      <c r="G47" s="503"/>
      <c r="H47" s="503"/>
      <c r="I47" s="503"/>
      <c r="J47" s="503"/>
      <c r="K47" s="502"/>
      <c r="L47" s="510"/>
    </row>
    <row r="48" spans="1:12">
      <c r="A48" s="510"/>
      <c r="B48" s="971">
        <v>312000000</v>
      </c>
      <c r="C48" s="955"/>
      <c r="D48" s="500" t="s">
        <v>716</v>
      </c>
      <c r="E48" s="500" t="s">
        <v>706</v>
      </c>
      <c r="F48" s="612">
        <v>1000</v>
      </c>
      <c r="G48" s="612" t="s">
        <v>705</v>
      </c>
      <c r="H48" s="499">
        <f>B48/F48</f>
        <v>312000</v>
      </c>
      <c r="I48" s="500" t="s">
        <v>717</v>
      </c>
      <c r="J48" s="500"/>
      <c r="K48" s="498"/>
      <c r="L48" s="510"/>
    </row>
    <row r="49" spans="1:24">
      <c r="A49" s="510"/>
      <c r="B49" s="452"/>
      <c r="C49" s="500"/>
      <c r="D49" s="500"/>
      <c r="E49" s="500"/>
      <c r="F49" s="500"/>
      <c r="G49" s="500"/>
      <c r="H49" s="500"/>
      <c r="I49" s="500"/>
      <c r="J49" s="500"/>
      <c r="K49" s="498"/>
      <c r="L49" s="510"/>
    </row>
    <row r="50" spans="1:24">
      <c r="A50" s="510"/>
      <c r="B50" s="453">
        <v>50000</v>
      </c>
      <c r="C50" s="500" t="s">
        <v>718</v>
      </c>
      <c r="D50" s="500"/>
      <c r="E50" s="500" t="s">
        <v>706</v>
      </c>
      <c r="F50" s="499">
        <f>H48</f>
        <v>312000</v>
      </c>
      <c r="G50" s="962" t="s">
        <v>719</v>
      </c>
      <c r="H50" s="963"/>
      <c r="I50" s="612" t="s">
        <v>705</v>
      </c>
      <c r="J50" s="454">
        <f>B50/F50</f>
        <v>0.16025641025641027</v>
      </c>
      <c r="K50" s="498"/>
      <c r="L50" s="510"/>
    </row>
    <row r="51" spans="1:24" ht="15" thickBot="1">
      <c r="A51" s="510"/>
      <c r="B51" s="449"/>
      <c r="C51" s="495"/>
      <c r="D51" s="495"/>
      <c r="E51" s="495"/>
      <c r="F51" s="495"/>
      <c r="G51" s="495"/>
      <c r="H51" s="495"/>
      <c r="I51" s="967" t="s">
        <v>720</v>
      </c>
      <c r="J51" s="967"/>
      <c r="K51" s="968"/>
      <c r="L51" s="510"/>
      <c r="O51" s="590"/>
    </row>
    <row r="52" spans="1:24" ht="40.5" customHeight="1">
      <c r="A52" s="510"/>
      <c r="B52" s="969" t="s">
        <v>697</v>
      </c>
      <c r="C52" s="969"/>
      <c r="D52" s="969"/>
      <c r="E52" s="969"/>
      <c r="F52" s="969"/>
      <c r="G52" s="969"/>
      <c r="H52" s="969"/>
      <c r="I52" s="969"/>
      <c r="J52" s="969"/>
      <c r="K52" s="969"/>
      <c r="L52" s="510"/>
    </row>
    <row r="53" spans="1:24">
      <c r="A53" s="510"/>
      <c r="B53" s="960" t="s">
        <v>721</v>
      </c>
      <c r="C53" s="960"/>
      <c r="D53" s="960"/>
      <c r="E53" s="960"/>
      <c r="F53" s="960"/>
      <c r="G53" s="960"/>
      <c r="H53" s="960"/>
      <c r="I53" s="960"/>
      <c r="J53" s="960"/>
      <c r="K53" s="960"/>
      <c r="L53" s="510"/>
    </row>
    <row r="54" spans="1:24">
      <c r="A54" s="510"/>
      <c r="B54" s="609"/>
      <c r="C54" s="609"/>
      <c r="D54" s="609"/>
      <c r="E54" s="609"/>
      <c r="F54" s="609"/>
      <c r="G54" s="609"/>
      <c r="H54" s="609"/>
      <c r="I54" s="609"/>
      <c r="J54" s="609"/>
      <c r="K54" s="609"/>
      <c r="L54" s="510"/>
    </row>
    <row r="55" spans="1:24">
      <c r="A55" s="510"/>
      <c r="B55" s="956" t="s">
        <v>722</v>
      </c>
      <c r="C55" s="956"/>
      <c r="D55" s="956"/>
      <c r="E55" s="956"/>
      <c r="F55" s="956"/>
      <c r="G55" s="956"/>
      <c r="H55" s="956"/>
      <c r="I55" s="956"/>
      <c r="J55" s="956"/>
      <c r="K55" s="956"/>
      <c r="L55" s="510"/>
    </row>
    <row r="56" spans="1:24" ht="15" customHeight="1">
      <c r="A56" s="510"/>
      <c r="L56" s="510"/>
    </row>
    <row r="57" spans="1:24" ht="74.25" customHeight="1">
      <c r="A57" s="510"/>
      <c r="B57" s="961" t="s">
        <v>723</v>
      </c>
      <c r="C57" s="966"/>
      <c r="D57" s="966"/>
      <c r="E57" s="966"/>
      <c r="F57" s="966"/>
      <c r="G57" s="966"/>
      <c r="H57" s="966"/>
      <c r="I57" s="966"/>
      <c r="J57" s="966"/>
      <c r="K57" s="966"/>
      <c r="L57" s="510"/>
      <c r="M57" s="455"/>
      <c r="N57" s="456"/>
      <c r="O57" s="456"/>
      <c r="P57" s="456"/>
      <c r="Q57" s="456"/>
      <c r="R57" s="456"/>
      <c r="S57" s="456"/>
      <c r="T57" s="456"/>
      <c r="U57" s="456"/>
      <c r="V57" s="456"/>
      <c r="W57" s="456"/>
      <c r="X57" s="456"/>
    </row>
    <row r="58" spans="1:24" ht="15" customHeight="1">
      <c r="A58" s="510"/>
      <c r="B58" s="961"/>
      <c r="C58" s="966"/>
      <c r="D58" s="966"/>
      <c r="E58" s="966"/>
      <c r="F58" s="966"/>
      <c r="G58" s="966"/>
      <c r="H58" s="966"/>
      <c r="I58" s="966"/>
      <c r="J58" s="966"/>
      <c r="K58" s="966"/>
      <c r="L58" s="510"/>
      <c r="M58" s="455"/>
      <c r="N58" s="456"/>
      <c r="O58" s="456"/>
      <c r="P58" s="456"/>
      <c r="Q58" s="456"/>
      <c r="R58" s="456"/>
      <c r="S58" s="456"/>
      <c r="T58" s="456"/>
      <c r="U58" s="456"/>
      <c r="V58" s="456"/>
      <c r="W58" s="456"/>
      <c r="X58" s="456"/>
    </row>
    <row r="59" spans="1:24">
      <c r="A59" s="510"/>
      <c r="B59" s="506" t="s">
        <v>712</v>
      </c>
      <c r="L59" s="510"/>
      <c r="M59" s="456"/>
      <c r="N59" s="456"/>
      <c r="O59" s="456"/>
      <c r="P59" s="456"/>
      <c r="Q59" s="456"/>
      <c r="R59" s="456"/>
      <c r="S59" s="456"/>
      <c r="T59" s="456"/>
      <c r="U59" s="456"/>
      <c r="V59" s="456"/>
      <c r="W59" s="456"/>
      <c r="X59" s="456"/>
    </row>
    <row r="60" spans="1:24">
      <c r="A60" s="510"/>
      <c r="L60" s="510"/>
      <c r="M60" s="456"/>
      <c r="N60" s="456"/>
      <c r="O60" s="456"/>
      <c r="P60" s="456"/>
      <c r="Q60" s="456"/>
      <c r="R60" s="456"/>
      <c r="S60" s="456"/>
      <c r="T60" s="456"/>
      <c r="U60" s="456"/>
      <c r="V60" s="456"/>
      <c r="W60" s="456"/>
      <c r="X60" s="456"/>
    </row>
    <row r="61" spans="1:24">
      <c r="A61" s="510"/>
      <c r="B61" s="508" t="s">
        <v>724</v>
      </c>
      <c r="L61" s="510"/>
      <c r="M61" s="456"/>
      <c r="N61" s="456"/>
      <c r="O61" s="456"/>
      <c r="P61" s="456"/>
      <c r="Q61" s="456"/>
      <c r="R61" s="456"/>
      <c r="S61" s="456"/>
      <c r="T61" s="456"/>
      <c r="U61" s="456"/>
      <c r="V61" s="456"/>
      <c r="W61" s="456"/>
      <c r="X61" s="456"/>
    </row>
    <row r="62" spans="1:24">
      <c r="A62" s="510"/>
      <c r="B62" s="508" t="s">
        <v>885</v>
      </c>
      <c r="L62" s="510"/>
      <c r="M62" s="456"/>
      <c r="N62" s="456"/>
      <c r="O62" s="456"/>
      <c r="P62" s="456"/>
      <c r="Q62" s="456"/>
      <c r="R62" s="456"/>
      <c r="S62" s="456"/>
      <c r="T62" s="456"/>
      <c r="U62" s="456"/>
      <c r="V62" s="456"/>
      <c r="W62" s="456"/>
      <c r="X62" s="456"/>
    </row>
    <row r="63" spans="1:24">
      <c r="A63" s="510"/>
      <c r="B63" s="508" t="s">
        <v>886</v>
      </c>
      <c r="L63" s="510"/>
      <c r="M63" s="456"/>
      <c r="N63" s="456"/>
      <c r="O63" s="456"/>
      <c r="P63" s="456"/>
      <c r="Q63" s="456"/>
      <c r="R63" s="456"/>
      <c r="S63" s="456"/>
      <c r="T63" s="456"/>
      <c r="U63" s="456"/>
      <c r="V63" s="456"/>
      <c r="W63" s="456"/>
      <c r="X63" s="456"/>
    </row>
    <row r="64" spans="1:24">
      <c r="A64" s="510"/>
      <c r="L64" s="510"/>
      <c r="M64" s="456"/>
      <c r="N64" s="456"/>
      <c r="O64" s="456"/>
      <c r="P64" s="456"/>
      <c r="Q64" s="456"/>
      <c r="R64" s="456"/>
      <c r="S64" s="456"/>
      <c r="T64" s="456"/>
      <c r="U64" s="456"/>
      <c r="V64" s="456"/>
      <c r="W64" s="456"/>
      <c r="X64" s="456"/>
    </row>
    <row r="65" spans="1:24">
      <c r="A65" s="510"/>
      <c r="B65" s="508" t="s">
        <v>725</v>
      </c>
      <c r="L65" s="510"/>
      <c r="M65" s="456"/>
      <c r="N65" s="456"/>
      <c r="O65" s="456"/>
      <c r="P65" s="456"/>
      <c r="Q65" s="456"/>
      <c r="R65" s="456"/>
      <c r="S65" s="456"/>
      <c r="T65" s="456"/>
      <c r="U65" s="456"/>
      <c r="V65" s="456"/>
      <c r="W65" s="456"/>
      <c r="X65" s="456"/>
    </row>
    <row r="66" spans="1:24">
      <c r="A66" s="510"/>
      <c r="B66" s="508" t="s">
        <v>726</v>
      </c>
      <c r="L66" s="510"/>
      <c r="M66" s="456"/>
      <c r="N66" s="456"/>
      <c r="O66" s="456"/>
      <c r="P66" s="456"/>
      <c r="Q66" s="456"/>
      <c r="R66" s="456"/>
      <c r="S66" s="456"/>
      <c r="T66" s="456"/>
      <c r="U66" s="456"/>
      <c r="V66" s="456"/>
      <c r="W66" s="456"/>
      <c r="X66" s="456"/>
    </row>
    <row r="67" spans="1:24">
      <c r="A67" s="510"/>
      <c r="L67" s="510"/>
      <c r="M67" s="456"/>
      <c r="N67" s="456"/>
      <c r="O67" s="456"/>
      <c r="P67" s="456"/>
      <c r="Q67" s="456"/>
      <c r="R67" s="456"/>
      <c r="S67" s="456"/>
      <c r="T67" s="456"/>
      <c r="U67" s="456"/>
      <c r="V67" s="456"/>
      <c r="W67" s="456"/>
      <c r="X67" s="456"/>
    </row>
    <row r="68" spans="1:24">
      <c r="A68" s="510"/>
      <c r="B68" s="508" t="s">
        <v>727</v>
      </c>
      <c r="L68" s="510"/>
      <c r="M68" s="457"/>
      <c r="N68" s="458"/>
      <c r="O68" s="458"/>
      <c r="P68" s="458"/>
      <c r="Q68" s="458"/>
      <c r="R68" s="458"/>
      <c r="S68" s="458"/>
      <c r="T68" s="458"/>
      <c r="U68" s="458"/>
      <c r="V68" s="458"/>
      <c r="W68" s="458"/>
      <c r="X68" s="456"/>
    </row>
    <row r="69" spans="1:24">
      <c r="A69" s="510"/>
      <c r="B69" s="508" t="s">
        <v>887</v>
      </c>
      <c r="L69" s="510"/>
      <c r="M69" s="456"/>
      <c r="N69" s="456"/>
      <c r="O69" s="456"/>
      <c r="P69" s="456"/>
      <c r="Q69" s="456"/>
      <c r="R69" s="456"/>
      <c r="S69" s="456"/>
      <c r="T69" s="456"/>
      <c r="U69" s="456"/>
      <c r="V69" s="456"/>
      <c r="W69" s="456"/>
      <c r="X69" s="456"/>
    </row>
    <row r="70" spans="1:24">
      <c r="A70" s="510"/>
      <c r="B70" s="508" t="s">
        <v>888</v>
      </c>
      <c r="L70" s="510"/>
      <c r="M70" s="456"/>
      <c r="N70" s="456"/>
      <c r="O70" s="456"/>
      <c r="P70" s="456"/>
      <c r="Q70" s="456"/>
      <c r="R70" s="456"/>
      <c r="S70" s="456"/>
      <c r="T70" s="456"/>
      <c r="U70" s="456"/>
      <c r="V70" s="456"/>
      <c r="W70" s="456"/>
      <c r="X70" s="456"/>
    </row>
    <row r="71" spans="1:24" ht="15" thickBot="1">
      <c r="A71" s="510"/>
      <c r="B71" s="500"/>
      <c r="C71" s="500"/>
      <c r="D71" s="500"/>
      <c r="E71" s="500"/>
      <c r="F71" s="500"/>
      <c r="G71" s="500"/>
      <c r="H71" s="500"/>
      <c r="I71" s="500"/>
      <c r="J71" s="500"/>
      <c r="K71" s="500"/>
      <c r="L71" s="510"/>
    </row>
    <row r="72" spans="1:24">
      <c r="A72" s="510"/>
      <c r="B72" s="504" t="s">
        <v>701</v>
      </c>
      <c r="C72" s="503"/>
      <c r="D72" s="503"/>
      <c r="E72" s="503"/>
      <c r="F72" s="503"/>
      <c r="G72" s="503"/>
      <c r="H72" s="503"/>
      <c r="I72" s="503"/>
      <c r="J72" s="503"/>
      <c r="K72" s="502"/>
      <c r="L72" s="459"/>
    </row>
    <row r="73" spans="1:24">
      <c r="A73" s="510"/>
      <c r="B73" s="452"/>
      <c r="C73" s="500" t="s">
        <v>707</v>
      </c>
      <c r="D73" s="500"/>
      <c r="E73" s="500"/>
      <c r="F73" s="500"/>
      <c r="G73" s="500"/>
      <c r="H73" s="500"/>
      <c r="I73" s="500"/>
      <c r="J73" s="500"/>
      <c r="K73" s="498"/>
      <c r="L73" s="459"/>
    </row>
    <row r="74" spans="1:24">
      <c r="A74" s="510"/>
      <c r="B74" s="452" t="s">
        <v>728</v>
      </c>
      <c r="C74" s="955">
        <v>312000000</v>
      </c>
      <c r="D74" s="955"/>
      <c r="E74" s="612" t="s">
        <v>706</v>
      </c>
      <c r="F74" s="612">
        <v>1000</v>
      </c>
      <c r="G74" s="612" t="s">
        <v>705</v>
      </c>
      <c r="H74" s="604">
        <f>C74/F74</f>
        <v>312000</v>
      </c>
      <c r="I74" s="500" t="s">
        <v>729</v>
      </c>
      <c r="J74" s="500"/>
      <c r="K74" s="498"/>
      <c r="L74" s="459"/>
    </row>
    <row r="75" spans="1:24">
      <c r="A75" s="510"/>
      <c r="B75" s="452"/>
      <c r="C75" s="500"/>
      <c r="D75" s="500"/>
      <c r="E75" s="612"/>
      <c r="F75" s="500"/>
      <c r="G75" s="500"/>
      <c r="H75" s="500"/>
      <c r="I75" s="500"/>
      <c r="J75" s="500"/>
      <c r="K75" s="498"/>
      <c r="L75" s="459"/>
    </row>
    <row r="76" spans="1:24">
      <c r="A76" s="510"/>
      <c r="B76" s="452"/>
      <c r="C76" s="500" t="s">
        <v>730</v>
      </c>
      <c r="D76" s="500"/>
      <c r="E76" s="612"/>
      <c r="F76" s="500" t="s">
        <v>729</v>
      </c>
      <c r="G76" s="500"/>
      <c r="H76" s="500"/>
      <c r="I76" s="500"/>
      <c r="J76" s="500"/>
      <c r="K76" s="498"/>
      <c r="L76" s="459"/>
    </row>
    <row r="77" spans="1:24">
      <c r="A77" s="510"/>
      <c r="B77" s="452" t="s">
        <v>733</v>
      </c>
      <c r="C77" s="955">
        <v>50000</v>
      </c>
      <c r="D77" s="955"/>
      <c r="E77" s="612" t="s">
        <v>706</v>
      </c>
      <c r="F77" s="604">
        <f>H74</f>
        <v>312000</v>
      </c>
      <c r="G77" s="612" t="s">
        <v>705</v>
      </c>
      <c r="H77" s="454">
        <f>C77/F77</f>
        <v>0.16025641025641027</v>
      </c>
      <c r="I77" s="500" t="s">
        <v>731</v>
      </c>
      <c r="J77" s="500"/>
      <c r="K77" s="498"/>
      <c r="L77" s="459"/>
    </row>
    <row r="78" spans="1:24">
      <c r="A78" s="510"/>
      <c r="B78" s="452"/>
      <c r="C78" s="500"/>
      <c r="D78" s="500"/>
      <c r="E78" s="612"/>
      <c r="F78" s="500"/>
      <c r="G78" s="500"/>
      <c r="H78" s="500"/>
      <c r="I78" s="500"/>
      <c r="J78" s="500"/>
      <c r="K78" s="498"/>
      <c r="L78" s="459"/>
    </row>
    <row r="79" spans="1:24">
      <c r="A79" s="510"/>
      <c r="B79" s="460"/>
      <c r="C79" s="461" t="s">
        <v>732</v>
      </c>
      <c r="D79" s="461"/>
      <c r="E79" s="605"/>
      <c r="F79" s="461"/>
      <c r="G79" s="461"/>
      <c r="H79" s="461"/>
      <c r="I79" s="461"/>
      <c r="J79" s="461"/>
      <c r="K79" s="462"/>
      <c r="L79" s="459"/>
    </row>
    <row r="80" spans="1:24">
      <c r="A80" s="510"/>
      <c r="B80" s="452" t="s">
        <v>793</v>
      </c>
      <c r="C80" s="955">
        <v>100000</v>
      </c>
      <c r="D80" s="955"/>
      <c r="E80" s="612" t="s">
        <v>272</v>
      </c>
      <c r="F80" s="612">
        <v>0.115</v>
      </c>
      <c r="G80" s="612" t="s">
        <v>705</v>
      </c>
      <c r="H80" s="604">
        <f>C80*F80</f>
        <v>11500</v>
      </c>
      <c r="I80" s="500" t="s">
        <v>734</v>
      </c>
      <c r="J80" s="500"/>
      <c r="K80" s="498"/>
      <c r="L80" s="459"/>
    </row>
    <row r="81" spans="1:12">
      <c r="A81" s="510"/>
      <c r="B81" s="452"/>
      <c r="C81" s="500"/>
      <c r="D81" s="500"/>
      <c r="E81" s="612"/>
      <c r="F81" s="500"/>
      <c r="G81" s="500"/>
      <c r="H81" s="500"/>
      <c r="I81" s="500"/>
      <c r="J81" s="500"/>
      <c r="K81" s="498"/>
      <c r="L81" s="459"/>
    </row>
    <row r="82" spans="1:12">
      <c r="A82" s="510"/>
      <c r="B82" s="460"/>
      <c r="C82" s="461" t="s">
        <v>735</v>
      </c>
      <c r="D82" s="461"/>
      <c r="E82" s="605"/>
      <c r="F82" s="461" t="s">
        <v>731</v>
      </c>
      <c r="G82" s="461"/>
      <c r="H82" s="461"/>
      <c r="I82" s="461"/>
      <c r="J82" s="461" t="s">
        <v>736</v>
      </c>
      <c r="K82" s="462"/>
      <c r="L82" s="459"/>
    </row>
    <row r="83" spans="1:12">
      <c r="A83" s="510"/>
      <c r="B83" s="452" t="s">
        <v>794</v>
      </c>
      <c r="C83" s="965">
        <f>H80</f>
        <v>11500</v>
      </c>
      <c r="D83" s="965"/>
      <c r="E83" s="612" t="s">
        <v>272</v>
      </c>
      <c r="F83" s="454">
        <f>H77</f>
        <v>0.16025641025641027</v>
      </c>
      <c r="G83" s="612" t="s">
        <v>706</v>
      </c>
      <c r="H83" s="612">
        <v>1000</v>
      </c>
      <c r="I83" s="612" t="s">
        <v>705</v>
      </c>
      <c r="J83" s="606">
        <f>C83*F83/H83</f>
        <v>1.8429487179487181</v>
      </c>
      <c r="K83" s="498"/>
      <c r="L83" s="459"/>
    </row>
    <row r="84" spans="1:12" ht="15" thickBot="1">
      <c r="A84" s="510"/>
      <c r="B84" s="449"/>
      <c r="C84" s="463"/>
      <c r="D84" s="463"/>
      <c r="E84" s="464"/>
      <c r="F84" s="465"/>
      <c r="G84" s="464"/>
      <c r="H84" s="464"/>
      <c r="I84" s="464"/>
      <c r="J84" s="466"/>
      <c r="K84" s="494"/>
      <c r="L84" s="459"/>
    </row>
    <row r="85" spans="1:12" ht="40.5" customHeight="1">
      <c r="A85" s="510"/>
      <c r="B85" s="969" t="s">
        <v>697</v>
      </c>
      <c r="C85" s="969"/>
      <c r="D85" s="969"/>
      <c r="E85" s="969"/>
      <c r="F85" s="969"/>
      <c r="G85" s="969"/>
      <c r="H85" s="969"/>
      <c r="I85" s="969"/>
      <c r="J85" s="969"/>
      <c r="K85" s="969"/>
      <c r="L85" s="510"/>
    </row>
    <row r="86" spans="1:12">
      <c r="A86" s="510"/>
      <c r="B86" s="956" t="s">
        <v>737</v>
      </c>
      <c r="C86" s="956"/>
      <c r="D86" s="956"/>
      <c r="E86" s="956"/>
      <c r="F86" s="956"/>
      <c r="G86" s="956"/>
      <c r="H86" s="956"/>
      <c r="I86" s="956"/>
      <c r="J86" s="956"/>
      <c r="K86" s="956"/>
      <c r="L86" s="510"/>
    </row>
    <row r="87" spans="1:12">
      <c r="A87" s="510"/>
      <c r="B87" s="467"/>
      <c r="C87" s="467"/>
      <c r="D87" s="467"/>
      <c r="E87" s="467"/>
      <c r="F87" s="467"/>
      <c r="G87" s="467"/>
      <c r="H87" s="467"/>
      <c r="I87" s="467"/>
      <c r="J87" s="467"/>
      <c r="K87" s="467"/>
      <c r="L87" s="510"/>
    </row>
    <row r="88" spans="1:12">
      <c r="A88" s="510"/>
      <c r="B88" s="956" t="s">
        <v>738</v>
      </c>
      <c r="C88" s="956"/>
      <c r="D88" s="956"/>
      <c r="E88" s="956"/>
      <c r="F88" s="956"/>
      <c r="G88" s="956"/>
      <c r="H88" s="956"/>
      <c r="I88" s="956"/>
      <c r="J88" s="956"/>
      <c r="K88" s="956"/>
      <c r="L88" s="510"/>
    </row>
    <row r="89" spans="1:12">
      <c r="A89" s="510"/>
      <c r="B89" s="608"/>
      <c r="C89" s="608"/>
      <c r="D89" s="608"/>
      <c r="E89" s="608"/>
      <c r="F89" s="608"/>
      <c r="G89" s="608"/>
      <c r="H89" s="608"/>
      <c r="I89" s="608"/>
      <c r="J89" s="608"/>
      <c r="K89" s="608"/>
      <c r="L89" s="510"/>
    </row>
    <row r="90" spans="1:12" ht="45" customHeight="1">
      <c r="A90" s="510"/>
      <c r="B90" s="961" t="s">
        <v>739</v>
      </c>
      <c r="C90" s="961"/>
      <c r="D90" s="961"/>
      <c r="E90" s="961"/>
      <c r="F90" s="961"/>
      <c r="G90" s="961"/>
      <c r="H90" s="961"/>
      <c r="I90" s="961"/>
      <c r="J90" s="961"/>
      <c r="K90" s="961"/>
      <c r="L90" s="510"/>
    </row>
    <row r="91" spans="1:12" ht="15" customHeight="1" thickBot="1">
      <c r="A91" s="510"/>
      <c r="L91" s="510"/>
    </row>
    <row r="92" spans="1:12" ht="15" customHeight="1">
      <c r="A92" s="510"/>
      <c r="B92" s="468" t="s">
        <v>701</v>
      </c>
      <c r="C92" s="469"/>
      <c r="D92" s="469"/>
      <c r="E92" s="469"/>
      <c r="F92" s="469"/>
      <c r="G92" s="469"/>
      <c r="H92" s="469"/>
      <c r="I92" s="469"/>
      <c r="J92" s="469"/>
      <c r="K92" s="470"/>
      <c r="L92" s="510"/>
    </row>
    <row r="93" spans="1:12" ht="15" customHeight="1">
      <c r="A93" s="510"/>
      <c r="B93" s="471"/>
      <c r="C93" s="611" t="s">
        <v>707</v>
      </c>
      <c r="D93" s="611"/>
      <c r="E93" s="611"/>
      <c r="F93" s="611"/>
      <c r="G93" s="611"/>
      <c r="H93" s="611"/>
      <c r="I93" s="611"/>
      <c r="J93" s="611"/>
      <c r="K93" s="472"/>
      <c r="L93" s="510"/>
    </row>
    <row r="94" spans="1:12" ht="15" customHeight="1">
      <c r="A94" s="510"/>
      <c r="B94" s="471" t="s">
        <v>728</v>
      </c>
      <c r="C94" s="955">
        <v>312000000</v>
      </c>
      <c r="D94" s="955"/>
      <c r="E94" s="612" t="s">
        <v>706</v>
      </c>
      <c r="F94" s="612">
        <v>1000</v>
      </c>
      <c r="G94" s="612" t="s">
        <v>705</v>
      </c>
      <c r="H94" s="604">
        <f>C94/F94</f>
        <v>312000</v>
      </c>
      <c r="I94" s="611" t="s">
        <v>729</v>
      </c>
      <c r="J94" s="611"/>
      <c r="K94" s="472"/>
      <c r="L94" s="510"/>
    </row>
    <row r="95" spans="1:12" ht="15" customHeight="1">
      <c r="A95" s="510"/>
      <c r="B95" s="471"/>
      <c r="C95" s="611"/>
      <c r="D95" s="611"/>
      <c r="E95" s="612"/>
      <c r="F95" s="611"/>
      <c r="G95" s="611"/>
      <c r="H95" s="611"/>
      <c r="I95" s="611"/>
      <c r="J95" s="611"/>
      <c r="K95" s="472"/>
      <c r="L95" s="510"/>
    </row>
    <row r="96" spans="1:12" ht="15" customHeight="1">
      <c r="A96" s="510"/>
      <c r="B96" s="471"/>
      <c r="C96" s="611" t="s">
        <v>730</v>
      </c>
      <c r="D96" s="611"/>
      <c r="E96" s="612"/>
      <c r="F96" s="611" t="s">
        <v>729</v>
      </c>
      <c r="G96" s="611"/>
      <c r="H96" s="611"/>
      <c r="I96" s="611"/>
      <c r="J96" s="611"/>
      <c r="K96" s="472"/>
      <c r="L96" s="510"/>
    </row>
    <row r="97" spans="1:12" ht="15" customHeight="1">
      <c r="A97" s="510"/>
      <c r="B97" s="471" t="s">
        <v>733</v>
      </c>
      <c r="C97" s="955">
        <v>50000</v>
      </c>
      <c r="D97" s="955"/>
      <c r="E97" s="612" t="s">
        <v>706</v>
      </c>
      <c r="F97" s="604">
        <f>H94</f>
        <v>312000</v>
      </c>
      <c r="G97" s="612" t="s">
        <v>705</v>
      </c>
      <c r="H97" s="454">
        <f>C97/F97</f>
        <v>0.16025641025641027</v>
      </c>
      <c r="I97" s="611" t="s">
        <v>731</v>
      </c>
      <c r="J97" s="611"/>
      <c r="K97" s="472"/>
      <c r="L97" s="510"/>
    </row>
    <row r="98" spans="1:12" ht="15" customHeight="1">
      <c r="A98" s="510"/>
      <c r="B98" s="471"/>
      <c r="C98" s="611"/>
      <c r="D98" s="611"/>
      <c r="E98" s="612"/>
      <c r="F98" s="611"/>
      <c r="G98" s="611"/>
      <c r="H98" s="611"/>
      <c r="I98" s="611"/>
      <c r="J98" s="611"/>
      <c r="K98" s="472"/>
      <c r="L98" s="510"/>
    </row>
    <row r="99" spans="1:12" ht="15" customHeight="1">
      <c r="A99" s="510"/>
      <c r="B99" s="473"/>
      <c r="C99" s="474" t="s">
        <v>740</v>
      </c>
      <c r="D99" s="474"/>
      <c r="E99" s="605"/>
      <c r="F99" s="474"/>
      <c r="G99" s="474"/>
      <c r="H99" s="474"/>
      <c r="I99" s="474"/>
      <c r="J99" s="474"/>
      <c r="K99" s="475"/>
      <c r="L99" s="510"/>
    </row>
    <row r="100" spans="1:12" ht="15" customHeight="1">
      <c r="A100" s="510"/>
      <c r="B100" s="471" t="s">
        <v>793</v>
      </c>
      <c r="C100" s="955">
        <v>2500000</v>
      </c>
      <c r="D100" s="955"/>
      <c r="E100" s="612" t="s">
        <v>272</v>
      </c>
      <c r="F100" s="476">
        <v>0.3</v>
      </c>
      <c r="G100" s="612" t="s">
        <v>705</v>
      </c>
      <c r="H100" s="604">
        <f>C100*F100</f>
        <v>750000</v>
      </c>
      <c r="I100" s="611" t="s">
        <v>734</v>
      </c>
      <c r="J100" s="611"/>
      <c r="K100" s="472"/>
      <c r="L100" s="510"/>
    </row>
    <row r="101" spans="1:12" ht="15" customHeight="1">
      <c r="A101" s="510"/>
      <c r="B101" s="471"/>
      <c r="C101" s="611"/>
      <c r="D101" s="611"/>
      <c r="E101" s="612"/>
      <c r="F101" s="611"/>
      <c r="G101" s="611"/>
      <c r="H101" s="611"/>
      <c r="I101" s="611"/>
      <c r="J101" s="611"/>
      <c r="K101" s="472"/>
      <c r="L101" s="510"/>
    </row>
    <row r="102" spans="1:12" ht="15" customHeight="1">
      <c r="A102" s="510"/>
      <c r="B102" s="473"/>
      <c r="C102" s="474" t="s">
        <v>735</v>
      </c>
      <c r="D102" s="474"/>
      <c r="E102" s="605"/>
      <c r="F102" s="474" t="s">
        <v>731</v>
      </c>
      <c r="G102" s="474"/>
      <c r="H102" s="474"/>
      <c r="I102" s="474"/>
      <c r="J102" s="474" t="s">
        <v>736</v>
      </c>
      <c r="K102" s="475"/>
      <c r="L102" s="510"/>
    </row>
    <row r="103" spans="1:12" ht="15" customHeight="1">
      <c r="A103" s="510"/>
      <c r="B103" s="471" t="s">
        <v>794</v>
      </c>
      <c r="C103" s="965">
        <f>H100</f>
        <v>750000</v>
      </c>
      <c r="D103" s="965"/>
      <c r="E103" s="612" t="s">
        <v>272</v>
      </c>
      <c r="F103" s="454">
        <f>H97</f>
        <v>0.16025641025641027</v>
      </c>
      <c r="G103" s="612" t="s">
        <v>706</v>
      </c>
      <c r="H103" s="612">
        <v>1000</v>
      </c>
      <c r="I103" s="612" t="s">
        <v>705</v>
      </c>
      <c r="J103" s="606">
        <f>C103*F103/H103</f>
        <v>120.19230769230771</v>
      </c>
      <c r="K103" s="472"/>
      <c r="L103" s="510"/>
    </row>
    <row r="104" spans="1:12" ht="15" customHeight="1" thickBot="1">
      <c r="A104" s="510"/>
      <c r="B104" s="477"/>
      <c r="C104" s="463"/>
      <c r="D104" s="463"/>
      <c r="E104" s="464"/>
      <c r="F104" s="465"/>
      <c r="G104" s="464"/>
      <c r="H104" s="464"/>
      <c r="I104" s="464"/>
      <c r="J104" s="466"/>
      <c r="K104" s="613"/>
      <c r="L104" s="510"/>
    </row>
    <row r="105" spans="1:12" ht="40.5" customHeight="1">
      <c r="A105" s="510"/>
      <c r="B105" s="969" t="s">
        <v>697</v>
      </c>
      <c r="C105" s="972"/>
      <c r="D105" s="972"/>
      <c r="E105" s="972"/>
      <c r="F105" s="972"/>
      <c r="G105" s="972"/>
      <c r="H105" s="972"/>
      <c r="I105" s="972"/>
      <c r="J105" s="972"/>
      <c r="K105" s="972"/>
      <c r="L105" s="510"/>
    </row>
    <row r="106" spans="1:12" ht="15" customHeight="1">
      <c r="A106" s="510"/>
      <c r="B106" s="973" t="s">
        <v>741</v>
      </c>
      <c r="C106" s="957"/>
      <c r="D106" s="957"/>
      <c r="E106" s="957"/>
      <c r="F106" s="957"/>
      <c r="G106" s="957"/>
      <c r="H106" s="957"/>
      <c r="I106" s="957"/>
      <c r="J106" s="957"/>
      <c r="K106" s="957"/>
      <c r="L106" s="510"/>
    </row>
    <row r="107" spans="1:12" ht="15" customHeight="1">
      <c r="A107" s="510"/>
      <c r="B107" s="611"/>
      <c r="C107" s="478"/>
      <c r="D107" s="478"/>
      <c r="E107" s="612"/>
      <c r="F107" s="454"/>
      <c r="G107" s="612"/>
      <c r="H107" s="612"/>
      <c r="I107" s="612"/>
      <c r="J107" s="606"/>
      <c r="K107" s="611"/>
      <c r="L107" s="510"/>
    </row>
    <row r="108" spans="1:12" ht="15" customHeight="1">
      <c r="A108" s="510"/>
      <c r="B108" s="973" t="s">
        <v>742</v>
      </c>
      <c r="C108" s="974"/>
      <c r="D108" s="974"/>
      <c r="E108" s="974"/>
      <c r="F108" s="974"/>
      <c r="G108" s="974"/>
      <c r="H108" s="974"/>
      <c r="I108" s="974"/>
      <c r="J108" s="974"/>
      <c r="K108" s="974"/>
      <c r="L108" s="510"/>
    </row>
    <row r="109" spans="1:12" ht="15" customHeight="1">
      <c r="A109" s="510"/>
      <c r="B109" s="611"/>
      <c r="C109" s="478"/>
      <c r="D109" s="478"/>
      <c r="E109" s="612"/>
      <c r="F109" s="454"/>
      <c r="G109" s="612"/>
      <c r="H109" s="612"/>
      <c r="I109" s="612"/>
      <c r="J109" s="606"/>
      <c r="K109" s="611"/>
      <c r="L109" s="510"/>
    </row>
    <row r="110" spans="1:12" ht="59.25" customHeight="1">
      <c r="A110" s="510"/>
      <c r="B110" s="975" t="s">
        <v>743</v>
      </c>
      <c r="C110" s="966"/>
      <c r="D110" s="966"/>
      <c r="E110" s="966"/>
      <c r="F110" s="966"/>
      <c r="G110" s="966"/>
      <c r="H110" s="966"/>
      <c r="I110" s="966"/>
      <c r="J110" s="966"/>
      <c r="K110" s="966"/>
      <c r="L110" s="510"/>
    </row>
    <row r="111" spans="1:12" ht="15" thickBot="1">
      <c r="A111" s="510"/>
      <c r="B111" s="609"/>
      <c r="C111" s="609"/>
      <c r="D111" s="609"/>
      <c r="E111" s="609"/>
      <c r="F111" s="609"/>
      <c r="G111" s="609"/>
      <c r="H111" s="609"/>
      <c r="I111" s="609"/>
      <c r="J111" s="609"/>
      <c r="K111" s="609"/>
      <c r="L111" s="479"/>
    </row>
    <row r="112" spans="1:12">
      <c r="A112" s="510"/>
      <c r="B112" s="504" t="s">
        <v>701</v>
      </c>
      <c r="C112" s="503"/>
      <c r="D112" s="503"/>
      <c r="E112" s="503"/>
      <c r="F112" s="503"/>
      <c r="G112" s="503"/>
      <c r="H112" s="503"/>
      <c r="I112" s="503"/>
      <c r="J112" s="503"/>
      <c r="K112" s="502"/>
      <c r="L112" s="510"/>
    </row>
    <row r="113" spans="1:12">
      <c r="A113" s="510"/>
      <c r="B113" s="452"/>
      <c r="C113" s="500" t="s">
        <v>707</v>
      </c>
      <c r="D113" s="500"/>
      <c r="E113" s="500"/>
      <c r="F113" s="500"/>
      <c r="G113" s="500"/>
      <c r="H113" s="500"/>
      <c r="I113" s="500"/>
      <c r="J113" s="500"/>
      <c r="K113" s="498"/>
      <c r="L113" s="510"/>
    </row>
    <row r="114" spans="1:12">
      <c r="A114" s="510"/>
      <c r="B114" s="452" t="s">
        <v>728</v>
      </c>
      <c r="C114" s="955">
        <v>312000000</v>
      </c>
      <c r="D114" s="955"/>
      <c r="E114" s="612" t="s">
        <v>706</v>
      </c>
      <c r="F114" s="612">
        <v>1000</v>
      </c>
      <c r="G114" s="612" t="s">
        <v>705</v>
      </c>
      <c r="H114" s="604">
        <f>C114/F114</f>
        <v>312000</v>
      </c>
      <c r="I114" s="500" t="s">
        <v>729</v>
      </c>
      <c r="J114" s="500"/>
      <c r="K114" s="498"/>
      <c r="L114" s="510"/>
    </row>
    <row r="115" spans="1:12">
      <c r="A115" s="510"/>
      <c r="B115" s="452"/>
      <c r="C115" s="500"/>
      <c r="D115" s="500"/>
      <c r="E115" s="612"/>
      <c r="F115" s="500"/>
      <c r="G115" s="500"/>
      <c r="H115" s="500"/>
      <c r="I115" s="500"/>
      <c r="J115" s="500"/>
      <c r="K115" s="498"/>
      <c r="L115" s="510"/>
    </row>
    <row r="116" spans="1:12">
      <c r="A116" s="510"/>
      <c r="B116" s="452"/>
      <c r="C116" s="500" t="s">
        <v>730</v>
      </c>
      <c r="D116" s="500"/>
      <c r="E116" s="612"/>
      <c r="F116" s="500" t="s">
        <v>729</v>
      </c>
      <c r="G116" s="500"/>
      <c r="H116" s="500"/>
      <c r="I116" s="500"/>
      <c r="J116" s="500"/>
      <c r="K116" s="498"/>
      <c r="L116" s="510"/>
    </row>
    <row r="117" spans="1:12">
      <c r="A117" s="510"/>
      <c r="B117" s="452" t="s">
        <v>733</v>
      </c>
      <c r="C117" s="955">
        <v>50000</v>
      </c>
      <c r="D117" s="955"/>
      <c r="E117" s="612" t="s">
        <v>706</v>
      </c>
      <c r="F117" s="604">
        <f>H114</f>
        <v>312000</v>
      </c>
      <c r="G117" s="612" t="s">
        <v>705</v>
      </c>
      <c r="H117" s="454">
        <f>C117/F117</f>
        <v>0.16025641025641027</v>
      </c>
      <c r="I117" s="500" t="s">
        <v>731</v>
      </c>
      <c r="J117" s="500"/>
      <c r="K117" s="498"/>
      <c r="L117" s="510"/>
    </row>
    <row r="118" spans="1:12">
      <c r="A118" s="510"/>
      <c r="B118" s="452"/>
      <c r="C118" s="500"/>
      <c r="D118" s="500"/>
      <c r="E118" s="612"/>
      <c r="F118" s="500"/>
      <c r="G118" s="500"/>
      <c r="H118" s="500"/>
      <c r="I118" s="500"/>
      <c r="J118" s="500"/>
      <c r="K118" s="498"/>
      <c r="L118" s="510"/>
    </row>
    <row r="119" spans="1:12">
      <c r="A119" s="510"/>
      <c r="B119" s="460"/>
      <c r="C119" s="461" t="s">
        <v>740</v>
      </c>
      <c r="D119" s="461"/>
      <c r="E119" s="605"/>
      <c r="F119" s="461"/>
      <c r="G119" s="461"/>
      <c r="H119" s="461"/>
      <c r="I119" s="461"/>
      <c r="J119" s="461"/>
      <c r="K119" s="462"/>
      <c r="L119" s="510"/>
    </row>
    <row r="120" spans="1:12">
      <c r="A120" s="510"/>
      <c r="B120" s="452" t="s">
        <v>793</v>
      </c>
      <c r="C120" s="955">
        <v>2500000</v>
      </c>
      <c r="D120" s="955"/>
      <c r="E120" s="612" t="s">
        <v>272</v>
      </c>
      <c r="F120" s="476">
        <v>0.25</v>
      </c>
      <c r="G120" s="612" t="s">
        <v>705</v>
      </c>
      <c r="H120" s="604">
        <f>C120*F120</f>
        <v>625000</v>
      </c>
      <c r="I120" s="500" t="s">
        <v>734</v>
      </c>
      <c r="J120" s="500"/>
      <c r="K120" s="498"/>
      <c r="L120" s="510"/>
    </row>
    <row r="121" spans="1:12">
      <c r="A121" s="510"/>
      <c r="B121" s="452"/>
      <c r="C121" s="500"/>
      <c r="D121" s="500"/>
      <c r="E121" s="612"/>
      <c r="F121" s="500"/>
      <c r="G121" s="500"/>
      <c r="H121" s="500"/>
      <c r="I121" s="500"/>
      <c r="J121" s="500"/>
      <c r="K121" s="498"/>
      <c r="L121" s="510"/>
    </row>
    <row r="122" spans="1:12">
      <c r="A122" s="510"/>
      <c r="B122" s="460"/>
      <c r="C122" s="461" t="s">
        <v>735</v>
      </c>
      <c r="D122" s="461"/>
      <c r="E122" s="605"/>
      <c r="F122" s="461" t="s">
        <v>731</v>
      </c>
      <c r="G122" s="461"/>
      <c r="H122" s="461"/>
      <c r="I122" s="461"/>
      <c r="J122" s="461" t="s">
        <v>736</v>
      </c>
      <c r="K122" s="462"/>
      <c r="L122" s="510"/>
    </row>
    <row r="123" spans="1:12">
      <c r="A123" s="510"/>
      <c r="B123" s="452" t="s">
        <v>794</v>
      </c>
      <c r="C123" s="965">
        <f>H120</f>
        <v>625000</v>
      </c>
      <c r="D123" s="965"/>
      <c r="E123" s="612" t="s">
        <v>272</v>
      </c>
      <c r="F123" s="454">
        <f>H117</f>
        <v>0.16025641025641027</v>
      </c>
      <c r="G123" s="612" t="s">
        <v>706</v>
      </c>
      <c r="H123" s="612">
        <v>1000</v>
      </c>
      <c r="I123" s="612" t="s">
        <v>705</v>
      </c>
      <c r="J123" s="606">
        <f>C123*F123/H123</f>
        <v>100.16025641025642</v>
      </c>
      <c r="K123" s="498"/>
      <c r="L123" s="510"/>
    </row>
    <row r="124" spans="1:12" ht="15" thickBot="1">
      <c r="A124" s="510"/>
      <c r="B124" s="449"/>
      <c r="C124" s="463"/>
      <c r="D124" s="463"/>
      <c r="E124" s="464"/>
      <c r="F124" s="465"/>
      <c r="G124" s="464"/>
      <c r="H124" s="464"/>
      <c r="I124" s="464"/>
      <c r="J124" s="466"/>
      <c r="K124" s="494"/>
      <c r="L124" s="510"/>
    </row>
    <row r="125" spans="1:12" ht="40.5" customHeight="1">
      <c r="A125" s="510"/>
      <c r="B125" s="969" t="s">
        <v>697</v>
      </c>
      <c r="C125" s="969"/>
      <c r="D125" s="969"/>
      <c r="E125" s="969"/>
      <c r="F125" s="969"/>
      <c r="G125" s="969"/>
      <c r="H125" s="969"/>
      <c r="I125" s="969"/>
      <c r="J125" s="969"/>
      <c r="K125" s="969"/>
      <c r="L125" s="479"/>
    </row>
    <row r="126" spans="1:12">
      <c r="A126" s="510"/>
      <c r="B126" s="956" t="s">
        <v>744</v>
      </c>
      <c r="C126" s="956"/>
      <c r="D126" s="956"/>
      <c r="E126" s="956"/>
      <c r="F126" s="956"/>
      <c r="G126" s="956"/>
      <c r="H126" s="956"/>
      <c r="I126" s="956"/>
      <c r="J126" s="956"/>
      <c r="K126" s="956"/>
      <c r="L126" s="479"/>
    </row>
    <row r="127" spans="1:12">
      <c r="A127" s="510"/>
      <c r="B127" s="609"/>
      <c r="C127" s="609"/>
      <c r="D127" s="609"/>
      <c r="E127" s="609"/>
      <c r="F127" s="609"/>
      <c r="G127" s="609"/>
      <c r="H127" s="609"/>
      <c r="I127" s="609"/>
      <c r="J127" s="609"/>
      <c r="K127" s="609"/>
      <c r="L127" s="479"/>
    </row>
    <row r="128" spans="1:12">
      <c r="A128" s="510"/>
      <c r="B128" s="956" t="s">
        <v>745</v>
      </c>
      <c r="C128" s="956"/>
      <c r="D128" s="956"/>
      <c r="E128" s="956"/>
      <c r="F128" s="956"/>
      <c r="G128" s="956"/>
      <c r="H128" s="956"/>
      <c r="I128" s="956"/>
      <c r="J128" s="956"/>
      <c r="K128" s="956"/>
      <c r="L128" s="479"/>
    </row>
    <row r="129" spans="1:12">
      <c r="A129" s="510"/>
      <c r="B129" s="608"/>
      <c r="C129" s="608"/>
      <c r="D129" s="608"/>
      <c r="E129" s="608"/>
      <c r="F129" s="608"/>
      <c r="G129" s="608"/>
      <c r="H129" s="608"/>
      <c r="I129" s="608"/>
      <c r="J129" s="608"/>
      <c r="K129" s="608"/>
      <c r="L129" s="479"/>
    </row>
    <row r="130" spans="1:12" ht="74.25" customHeight="1">
      <c r="A130" s="510"/>
      <c r="B130" s="961" t="s">
        <v>795</v>
      </c>
      <c r="C130" s="961"/>
      <c r="D130" s="961"/>
      <c r="E130" s="961"/>
      <c r="F130" s="961"/>
      <c r="G130" s="961"/>
      <c r="H130" s="961"/>
      <c r="I130" s="961"/>
      <c r="J130" s="961"/>
      <c r="K130" s="961"/>
      <c r="L130" s="479"/>
    </row>
    <row r="131" spans="1:12" ht="15" thickBot="1">
      <c r="A131" s="510"/>
      <c r="L131" s="510"/>
    </row>
    <row r="132" spans="1:12">
      <c r="A132" s="510"/>
      <c r="B132" s="504" t="s">
        <v>701</v>
      </c>
      <c r="C132" s="503"/>
      <c r="D132" s="503"/>
      <c r="E132" s="503"/>
      <c r="F132" s="503"/>
      <c r="G132" s="503"/>
      <c r="H132" s="503"/>
      <c r="I132" s="503"/>
      <c r="J132" s="503"/>
      <c r="K132" s="502"/>
      <c r="L132" s="510"/>
    </row>
    <row r="133" spans="1:12">
      <c r="A133" s="510"/>
      <c r="B133" s="452"/>
      <c r="C133" s="964" t="s">
        <v>746</v>
      </c>
      <c r="D133" s="964"/>
      <c r="E133" s="500"/>
      <c r="F133" s="612" t="s">
        <v>747</v>
      </c>
      <c r="G133" s="500"/>
      <c r="H133" s="964" t="s">
        <v>734</v>
      </c>
      <c r="I133" s="964"/>
      <c r="J133" s="500"/>
      <c r="K133" s="498"/>
      <c r="L133" s="510"/>
    </row>
    <row r="134" spans="1:12">
      <c r="A134" s="510"/>
      <c r="B134" s="452" t="s">
        <v>728</v>
      </c>
      <c r="C134" s="955">
        <v>100000</v>
      </c>
      <c r="D134" s="955"/>
      <c r="E134" s="612" t="s">
        <v>272</v>
      </c>
      <c r="F134" s="612">
        <v>0.115</v>
      </c>
      <c r="G134" s="612" t="s">
        <v>705</v>
      </c>
      <c r="H134" s="979">
        <f>C134*F134</f>
        <v>11500</v>
      </c>
      <c r="I134" s="979"/>
      <c r="J134" s="500"/>
      <c r="K134" s="498"/>
      <c r="L134" s="510"/>
    </row>
    <row r="135" spans="1:12">
      <c r="A135" s="510"/>
      <c r="B135" s="452"/>
      <c r="C135" s="500"/>
      <c r="D135" s="500"/>
      <c r="E135" s="500"/>
      <c r="F135" s="500"/>
      <c r="G135" s="500"/>
      <c r="H135" s="500"/>
      <c r="I135" s="500"/>
      <c r="J135" s="500"/>
      <c r="K135" s="498"/>
      <c r="L135" s="510"/>
    </row>
    <row r="136" spans="1:12">
      <c r="A136" s="510"/>
      <c r="B136" s="460"/>
      <c r="C136" s="980" t="s">
        <v>734</v>
      </c>
      <c r="D136" s="980"/>
      <c r="E136" s="461"/>
      <c r="F136" s="605" t="s">
        <v>748</v>
      </c>
      <c r="G136" s="605"/>
      <c r="H136" s="461"/>
      <c r="I136" s="461"/>
      <c r="J136" s="461" t="s">
        <v>749</v>
      </c>
      <c r="K136" s="462"/>
      <c r="L136" s="510"/>
    </row>
    <row r="137" spans="1:12">
      <c r="A137" s="510"/>
      <c r="B137" s="452" t="s">
        <v>733</v>
      </c>
      <c r="C137" s="979">
        <f>H134</f>
        <v>11500</v>
      </c>
      <c r="D137" s="979"/>
      <c r="E137" s="612" t="s">
        <v>272</v>
      </c>
      <c r="F137" s="480">
        <v>52.869</v>
      </c>
      <c r="G137" s="612" t="s">
        <v>706</v>
      </c>
      <c r="H137" s="612">
        <v>1000</v>
      </c>
      <c r="I137" s="612" t="s">
        <v>705</v>
      </c>
      <c r="J137" s="481">
        <f>C137*F137/H137</f>
        <v>607.99350000000004</v>
      </c>
      <c r="K137" s="498"/>
      <c r="L137" s="510"/>
    </row>
    <row r="138" spans="1:12" ht="15" thickBot="1">
      <c r="A138" s="510"/>
      <c r="B138" s="449"/>
      <c r="C138" s="591"/>
      <c r="D138" s="591"/>
      <c r="E138" s="464"/>
      <c r="F138" s="592"/>
      <c r="G138" s="464"/>
      <c r="H138" s="464"/>
      <c r="I138" s="464"/>
      <c r="J138" s="593"/>
      <c r="K138" s="494"/>
      <c r="L138" s="510"/>
    </row>
    <row r="139" spans="1:12" ht="40.5" customHeight="1">
      <c r="A139" s="510"/>
      <c r="B139" s="578" t="s">
        <v>697</v>
      </c>
      <c r="C139" s="579"/>
      <c r="D139" s="579"/>
      <c r="E139" s="580"/>
      <c r="F139" s="581"/>
      <c r="G139" s="580"/>
      <c r="H139" s="580"/>
      <c r="I139" s="580"/>
      <c r="J139" s="582"/>
      <c r="K139" s="583"/>
      <c r="L139" s="510"/>
    </row>
    <row r="140" spans="1:12">
      <c r="A140" s="510"/>
      <c r="B140" s="584" t="s">
        <v>796</v>
      </c>
      <c r="C140" s="585"/>
      <c r="D140" s="585"/>
      <c r="E140" s="586"/>
      <c r="F140" s="587"/>
      <c r="G140" s="586"/>
      <c r="H140" s="586"/>
      <c r="I140" s="586"/>
      <c r="J140" s="588"/>
      <c r="K140" s="589"/>
      <c r="L140" s="510"/>
    </row>
    <row r="141" spans="1:12">
      <c r="A141" s="510"/>
      <c r="B141" s="452"/>
      <c r="C141" s="604"/>
      <c r="D141" s="604"/>
      <c r="E141" s="612"/>
      <c r="F141" s="594"/>
      <c r="G141" s="612"/>
      <c r="H141" s="612"/>
      <c r="I141" s="612"/>
      <c r="J141" s="481"/>
      <c r="K141" s="498"/>
      <c r="L141" s="510"/>
    </row>
    <row r="142" spans="1:12">
      <c r="A142" s="510"/>
      <c r="B142" s="584" t="s">
        <v>797</v>
      </c>
      <c r="C142" s="585"/>
      <c r="D142" s="585"/>
      <c r="E142" s="586"/>
      <c r="F142" s="587"/>
      <c r="G142" s="586"/>
      <c r="H142" s="586"/>
      <c r="I142" s="586"/>
      <c r="J142" s="588"/>
      <c r="K142" s="589"/>
      <c r="L142" s="510"/>
    </row>
    <row r="143" spans="1:12">
      <c r="A143" s="510"/>
      <c r="B143" s="452"/>
      <c r="C143" s="604"/>
      <c r="D143" s="604"/>
      <c r="E143" s="612"/>
      <c r="F143" s="594"/>
      <c r="G143" s="612"/>
      <c r="H143" s="612"/>
      <c r="I143" s="612"/>
      <c r="J143" s="481"/>
      <c r="K143" s="498"/>
      <c r="L143" s="510"/>
    </row>
    <row r="144" spans="1:12" ht="76.5" customHeight="1">
      <c r="A144" s="510"/>
      <c r="B144" s="981" t="s">
        <v>798</v>
      </c>
      <c r="C144" s="982"/>
      <c r="D144" s="982"/>
      <c r="E144" s="982"/>
      <c r="F144" s="982"/>
      <c r="G144" s="982"/>
      <c r="H144" s="982"/>
      <c r="I144" s="982"/>
      <c r="J144" s="982"/>
      <c r="K144" s="983"/>
      <c r="L144" s="510"/>
    </row>
    <row r="145" spans="1:12" ht="15" thickBot="1">
      <c r="A145" s="510"/>
      <c r="B145" s="452"/>
      <c r="C145" s="604"/>
      <c r="D145" s="604"/>
      <c r="E145" s="612"/>
      <c r="F145" s="594"/>
      <c r="G145" s="612"/>
      <c r="H145" s="612"/>
      <c r="I145" s="612"/>
      <c r="J145" s="481"/>
      <c r="K145" s="498"/>
      <c r="L145" s="510"/>
    </row>
    <row r="146" spans="1:12">
      <c r="A146" s="510"/>
      <c r="B146" s="504" t="s">
        <v>701</v>
      </c>
      <c r="C146" s="595"/>
      <c r="D146" s="595"/>
      <c r="E146" s="596"/>
      <c r="F146" s="597"/>
      <c r="G146" s="596"/>
      <c r="H146" s="596"/>
      <c r="I146" s="596"/>
      <c r="J146" s="598"/>
      <c r="K146" s="502"/>
      <c r="L146" s="510"/>
    </row>
    <row r="147" spans="1:12">
      <c r="A147" s="510"/>
      <c r="B147" s="452"/>
      <c r="C147" s="979" t="s">
        <v>799</v>
      </c>
      <c r="D147" s="979"/>
      <c r="E147" s="612"/>
      <c r="F147" s="594" t="s">
        <v>800</v>
      </c>
      <c r="G147" s="612"/>
      <c r="H147" s="612"/>
      <c r="I147" s="612"/>
      <c r="J147" s="977" t="s">
        <v>801</v>
      </c>
      <c r="K147" s="984"/>
      <c r="L147" s="510"/>
    </row>
    <row r="148" spans="1:12">
      <c r="A148" s="510"/>
      <c r="B148" s="452"/>
      <c r="C148" s="976">
        <v>52.869</v>
      </c>
      <c r="D148" s="976"/>
      <c r="E148" s="612" t="s">
        <v>272</v>
      </c>
      <c r="F148" s="607">
        <v>312000000</v>
      </c>
      <c r="G148" s="599" t="s">
        <v>706</v>
      </c>
      <c r="H148" s="612">
        <v>1000</v>
      </c>
      <c r="I148" s="612" t="s">
        <v>705</v>
      </c>
      <c r="J148" s="977">
        <f>C148*(F148/1000)</f>
        <v>16495128</v>
      </c>
      <c r="K148" s="978"/>
      <c r="L148" s="510"/>
    </row>
    <row r="149" spans="1:12" ht="15" thickBot="1">
      <c r="A149" s="510"/>
      <c r="B149" s="449"/>
      <c r="C149" s="591"/>
      <c r="D149" s="591"/>
      <c r="E149" s="464"/>
      <c r="F149" s="592"/>
      <c r="G149" s="464"/>
      <c r="H149" s="464"/>
      <c r="I149" s="464"/>
      <c r="J149" s="593"/>
      <c r="K149" s="494"/>
      <c r="L149" s="510"/>
    </row>
    <row r="150" spans="1:12" ht="15" thickBot="1">
      <c r="A150" s="510"/>
      <c r="B150" s="449"/>
      <c r="C150" s="495"/>
      <c r="D150" s="495"/>
      <c r="E150" s="495"/>
      <c r="F150" s="495"/>
      <c r="G150" s="495"/>
      <c r="H150" s="495"/>
      <c r="I150" s="495"/>
      <c r="J150" s="495"/>
      <c r="K150" s="494"/>
      <c r="L150" s="510"/>
    </row>
    <row r="151" spans="1:12">
      <c r="A151" s="510"/>
      <c r="B151" s="510"/>
      <c r="C151" s="510"/>
      <c r="D151" s="510"/>
      <c r="E151" s="510"/>
      <c r="F151" s="510"/>
      <c r="G151" s="510"/>
      <c r="H151" s="510"/>
      <c r="I151" s="510"/>
      <c r="J151" s="510"/>
      <c r="K151" s="510"/>
      <c r="L151" s="510"/>
    </row>
    <row r="152" spans="1:12">
      <c r="A152" s="510"/>
      <c r="B152" s="510"/>
      <c r="C152" s="510"/>
      <c r="D152" s="510"/>
      <c r="E152" s="510"/>
      <c r="F152" s="510"/>
      <c r="G152" s="510"/>
      <c r="H152" s="510"/>
      <c r="I152" s="510"/>
      <c r="J152" s="510"/>
      <c r="K152" s="510"/>
      <c r="L152" s="510"/>
    </row>
    <row r="153" spans="1:12">
      <c r="A153" s="510"/>
      <c r="B153" s="510"/>
      <c r="C153" s="510"/>
      <c r="D153" s="510"/>
      <c r="E153" s="510"/>
      <c r="F153" s="510"/>
      <c r="G153" s="510"/>
      <c r="H153" s="510"/>
      <c r="I153" s="510"/>
      <c r="J153" s="510"/>
      <c r="K153" s="510"/>
      <c r="L153" s="510"/>
    </row>
    <row r="154" spans="1:12">
      <c r="A154" s="482"/>
      <c r="B154" s="482"/>
      <c r="C154" s="482"/>
      <c r="D154" s="482"/>
      <c r="E154" s="482"/>
      <c r="F154" s="482"/>
      <c r="G154" s="482"/>
      <c r="H154" s="482"/>
      <c r="I154" s="482"/>
      <c r="J154" s="482"/>
      <c r="K154" s="482"/>
      <c r="L154" s="482"/>
    </row>
    <row r="155" spans="1:12">
      <c r="A155" s="482"/>
      <c r="B155" s="482"/>
      <c r="C155" s="482"/>
      <c r="D155" s="482"/>
      <c r="E155" s="482"/>
      <c r="F155" s="482"/>
      <c r="G155" s="482"/>
      <c r="H155" s="482"/>
      <c r="I155" s="482"/>
      <c r="J155" s="482"/>
      <c r="K155" s="482"/>
      <c r="L155" s="482"/>
    </row>
    <row r="156" spans="1:12">
      <c r="A156" s="482"/>
      <c r="B156" s="482"/>
      <c r="C156" s="482"/>
      <c r="D156" s="482"/>
      <c r="E156" s="482"/>
      <c r="F156" s="482"/>
      <c r="G156" s="482"/>
      <c r="H156" s="482"/>
      <c r="I156" s="482"/>
      <c r="J156" s="482"/>
      <c r="K156" s="482"/>
      <c r="L156" s="482"/>
    </row>
    <row r="157" spans="1:12">
      <c r="A157" s="482"/>
      <c r="B157" s="482"/>
      <c r="C157" s="482"/>
      <c r="D157" s="482"/>
      <c r="E157" s="482"/>
      <c r="F157" s="482"/>
      <c r="G157" s="482"/>
      <c r="H157" s="482"/>
      <c r="I157" s="482"/>
      <c r="J157" s="482"/>
      <c r="K157" s="482"/>
      <c r="L157" s="482"/>
    </row>
    <row r="158" spans="1:12">
      <c r="A158" s="482"/>
      <c r="B158" s="482"/>
      <c r="C158" s="482"/>
      <c r="D158" s="482"/>
      <c r="E158" s="482"/>
      <c r="F158" s="482"/>
      <c r="G158" s="482"/>
      <c r="H158" s="482"/>
      <c r="I158" s="482"/>
      <c r="J158" s="482"/>
      <c r="K158" s="482"/>
      <c r="L158" s="482"/>
    </row>
    <row r="159" spans="1:12">
      <c r="A159" s="482"/>
      <c r="B159" s="482"/>
      <c r="C159" s="482"/>
      <c r="D159" s="482"/>
      <c r="E159" s="482"/>
      <c r="F159" s="482"/>
      <c r="G159" s="482"/>
      <c r="H159" s="482"/>
      <c r="I159" s="482"/>
      <c r="J159" s="482"/>
      <c r="K159" s="482"/>
      <c r="L159" s="482"/>
    </row>
    <row r="160" spans="1:12">
      <c r="A160" s="482"/>
      <c r="B160" s="482"/>
      <c r="C160" s="482"/>
      <c r="D160" s="482"/>
      <c r="E160" s="482"/>
      <c r="F160" s="482"/>
      <c r="G160" s="482"/>
      <c r="H160" s="482"/>
      <c r="I160" s="482"/>
      <c r="J160" s="482"/>
      <c r="K160" s="482"/>
      <c r="L160" s="482"/>
    </row>
    <row r="161" spans="1:12">
      <c r="A161" s="482"/>
      <c r="B161" s="482"/>
      <c r="C161" s="482"/>
      <c r="D161" s="482"/>
      <c r="E161" s="482"/>
      <c r="F161" s="482"/>
      <c r="G161" s="482"/>
      <c r="H161" s="482"/>
      <c r="I161" s="482"/>
      <c r="J161" s="482"/>
      <c r="K161" s="482"/>
      <c r="L161" s="482"/>
    </row>
    <row r="162" spans="1:12">
      <c r="A162" s="482"/>
      <c r="B162" s="482"/>
      <c r="C162" s="482"/>
      <c r="D162" s="482"/>
      <c r="E162" s="482"/>
      <c r="F162" s="482"/>
      <c r="G162" s="482"/>
      <c r="H162" s="482"/>
      <c r="I162" s="482"/>
      <c r="J162" s="482"/>
      <c r="K162" s="482"/>
      <c r="L162" s="482"/>
    </row>
    <row r="163" spans="1:12">
      <c r="A163" s="482"/>
      <c r="B163" s="482"/>
      <c r="C163" s="482"/>
      <c r="D163" s="482"/>
      <c r="E163" s="482"/>
      <c r="F163" s="482"/>
      <c r="G163" s="482"/>
      <c r="H163" s="482"/>
      <c r="I163" s="482"/>
      <c r="J163" s="482"/>
      <c r="K163" s="482"/>
      <c r="L163" s="482"/>
    </row>
    <row r="164" spans="1:12">
      <c r="A164" s="482"/>
      <c r="B164" s="482"/>
      <c r="C164" s="482"/>
      <c r="D164" s="482"/>
      <c r="E164" s="482"/>
      <c r="F164" s="482"/>
      <c r="G164" s="482"/>
      <c r="H164" s="482"/>
      <c r="I164" s="482"/>
      <c r="J164" s="482"/>
      <c r="K164" s="482"/>
      <c r="L164" s="482"/>
    </row>
    <row r="165" spans="1:12">
      <c r="A165" s="482"/>
      <c r="B165" s="482"/>
      <c r="C165" s="482"/>
      <c r="D165" s="482"/>
      <c r="E165" s="482"/>
      <c r="F165" s="482"/>
      <c r="G165" s="482"/>
      <c r="H165" s="482"/>
      <c r="I165" s="482"/>
      <c r="J165" s="482"/>
      <c r="K165" s="482"/>
      <c r="L165" s="482"/>
    </row>
    <row r="166" spans="1:12">
      <c r="A166" s="482"/>
      <c r="B166" s="482"/>
      <c r="C166" s="482"/>
      <c r="D166" s="482"/>
      <c r="E166" s="482"/>
      <c r="F166" s="482"/>
      <c r="G166" s="482"/>
      <c r="H166" s="482"/>
      <c r="I166" s="482"/>
      <c r="J166" s="482"/>
      <c r="K166" s="482"/>
      <c r="L166" s="482"/>
    </row>
    <row r="167" spans="1:12">
      <c r="A167" s="482"/>
      <c r="B167" s="482"/>
      <c r="C167" s="482"/>
      <c r="D167" s="482"/>
      <c r="E167" s="482"/>
      <c r="F167" s="482"/>
      <c r="G167" s="482"/>
      <c r="H167" s="482"/>
      <c r="I167" s="482"/>
      <c r="J167" s="482"/>
      <c r="K167" s="482"/>
      <c r="L167" s="482"/>
    </row>
    <row r="168" spans="1:12">
      <c r="A168" s="482"/>
      <c r="B168" s="482"/>
      <c r="C168" s="482"/>
      <c r="D168" s="482"/>
      <c r="E168" s="482"/>
      <c r="F168" s="482"/>
      <c r="G168" s="482"/>
      <c r="H168" s="482"/>
      <c r="I168" s="482"/>
      <c r="J168" s="482"/>
      <c r="K168" s="482"/>
      <c r="L168" s="482"/>
    </row>
    <row r="169" spans="1:12">
      <c r="A169" s="482"/>
      <c r="B169" s="482"/>
      <c r="C169" s="482"/>
      <c r="D169" s="482"/>
      <c r="E169" s="482"/>
      <c r="F169" s="482"/>
      <c r="G169" s="482"/>
      <c r="H169" s="482"/>
      <c r="I169" s="482"/>
      <c r="J169" s="482"/>
      <c r="K169" s="482"/>
      <c r="L169" s="482"/>
    </row>
    <row r="170" spans="1:12">
      <c r="A170" s="482"/>
      <c r="B170" s="482"/>
      <c r="C170" s="482"/>
      <c r="D170" s="482"/>
      <c r="E170" s="482"/>
      <c r="F170" s="482"/>
      <c r="G170" s="482"/>
      <c r="H170" s="482"/>
      <c r="I170" s="482"/>
      <c r="J170" s="482"/>
      <c r="K170" s="482"/>
      <c r="L170" s="482"/>
    </row>
    <row r="171" spans="1:12">
      <c r="A171" s="482"/>
      <c r="B171" s="482"/>
      <c r="C171" s="482"/>
      <c r="D171" s="482"/>
      <c r="E171" s="482"/>
      <c r="F171" s="482"/>
      <c r="G171" s="482"/>
      <c r="H171" s="482"/>
      <c r="I171" s="482"/>
      <c r="J171" s="482"/>
      <c r="K171" s="482"/>
      <c r="L171" s="482"/>
    </row>
    <row r="172" spans="1:12">
      <c r="A172" s="482"/>
      <c r="B172" s="482"/>
      <c r="C172" s="482"/>
      <c r="D172" s="482"/>
      <c r="E172" s="482"/>
      <c r="F172" s="482"/>
      <c r="G172" s="482"/>
      <c r="H172" s="482"/>
      <c r="I172" s="482"/>
      <c r="J172" s="482"/>
      <c r="K172" s="482"/>
      <c r="L172" s="482"/>
    </row>
    <row r="173" spans="1:12">
      <c r="A173" s="482"/>
      <c r="B173" s="482"/>
      <c r="C173" s="482"/>
      <c r="D173" s="482"/>
      <c r="E173" s="482"/>
      <c r="F173" s="482"/>
      <c r="G173" s="482"/>
      <c r="H173" s="482"/>
      <c r="I173" s="482"/>
      <c r="J173" s="482"/>
      <c r="K173" s="482"/>
      <c r="L173" s="482"/>
    </row>
    <row r="174" spans="1:12">
      <c r="A174" s="482"/>
      <c r="B174" s="482"/>
      <c r="C174" s="482"/>
      <c r="D174" s="482"/>
      <c r="E174" s="482"/>
      <c r="F174" s="482"/>
      <c r="G174" s="482"/>
      <c r="H174" s="482"/>
      <c r="I174" s="482"/>
      <c r="J174" s="482"/>
      <c r="K174" s="482"/>
      <c r="L174" s="482"/>
    </row>
    <row r="175" spans="1:12">
      <c r="A175" s="482"/>
      <c r="B175" s="482"/>
      <c r="C175" s="482"/>
      <c r="D175" s="482"/>
      <c r="E175" s="482"/>
      <c r="F175" s="482"/>
      <c r="G175" s="482"/>
      <c r="H175" s="482"/>
      <c r="I175" s="482"/>
      <c r="J175" s="482"/>
      <c r="K175" s="482"/>
      <c r="L175" s="482"/>
    </row>
    <row r="176" spans="1:12">
      <c r="A176" s="482"/>
      <c r="B176" s="482"/>
      <c r="C176" s="482"/>
      <c r="D176" s="482"/>
      <c r="E176" s="482"/>
      <c r="F176" s="482"/>
      <c r="G176" s="482"/>
      <c r="H176" s="482"/>
      <c r="I176" s="482"/>
      <c r="J176" s="482"/>
      <c r="K176" s="482"/>
      <c r="L176" s="482"/>
    </row>
    <row r="177" spans="1:12">
      <c r="A177" s="482"/>
      <c r="B177" s="482"/>
      <c r="C177" s="482"/>
      <c r="D177" s="482"/>
      <c r="E177" s="482"/>
      <c r="F177" s="482"/>
      <c r="G177" s="482"/>
      <c r="H177" s="482"/>
      <c r="I177" s="482"/>
      <c r="J177" s="482"/>
      <c r="K177" s="482"/>
      <c r="L177" s="482"/>
    </row>
    <row r="178" spans="1:12">
      <c r="A178" s="482"/>
      <c r="B178" s="482"/>
      <c r="C178" s="482"/>
      <c r="D178" s="482"/>
      <c r="E178" s="482"/>
      <c r="F178" s="482"/>
      <c r="G178" s="482"/>
      <c r="H178" s="482"/>
      <c r="I178" s="482"/>
      <c r="J178" s="482"/>
      <c r="K178" s="482"/>
      <c r="L178" s="482"/>
    </row>
    <row r="179" spans="1:12">
      <c r="A179" s="482"/>
      <c r="B179" s="482"/>
      <c r="C179" s="482"/>
      <c r="D179" s="482"/>
      <c r="E179" s="482"/>
      <c r="F179" s="482"/>
      <c r="G179" s="482"/>
      <c r="H179" s="482"/>
      <c r="I179" s="482"/>
      <c r="J179" s="482"/>
      <c r="K179" s="482"/>
      <c r="L179" s="482"/>
    </row>
    <row r="180" spans="1:12">
      <c r="A180" s="482"/>
      <c r="B180" s="482"/>
      <c r="C180" s="482"/>
      <c r="D180" s="482"/>
      <c r="E180" s="482"/>
      <c r="F180" s="482"/>
      <c r="G180" s="482"/>
      <c r="H180" s="482"/>
      <c r="I180" s="482"/>
      <c r="J180" s="482"/>
      <c r="K180" s="482"/>
      <c r="L180" s="482"/>
    </row>
    <row r="181" spans="1:12">
      <c r="A181" s="482"/>
      <c r="B181" s="482"/>
      <c r="C181" s="482"/>
      <c r="D181" s="482"/>
      <c r="E181" s="482"/>
      <c r="F181" s="482"/>
      <c r="G181" s="482"/>
      <c r="H181" s="482"/>
      <c r="I181" s="482"/>
      <c r="J181" s="482"/>
      <c r="K181" s="482"/>
      <c r="L181" s="482"/>
    </row>
    <row r="182" spans="1:12">
      <c r="A182" s="482"/>
      <c r="B182" s="482"/>
      <c r="C182" s="482"/>
      <c r="D182" s="482"/>
      <c r="E182" s="482"/>
      <c r="F182" s="482"/>
      <c r="G182" s="482"/>
      <c r="H182" s="482"/>
      <c r="I182" s="482"/>
      <c r="J182" s="482"/>
      <c r="K182" s="482"/>
      <c r="L182" s="482"/>
    </row>
    <row r="183" spans="1:12">
      <c r="A183" s="482"/>
      <c r="B183" s="482"/>
      <c r="C183" s="482"/>
      <c r="D183" s="482"/>
      <c r="E183" s="482"/>
      <c r="F183" s="482"/>
      <c r="G183" s="482"/>
      <c r="H183" s="482"/>
      <c r="I183" s="482"/>
      <c r="J183" s="482"/>
      <c r="K183" s="482"/>
      <c r="L183" s="482"/>
    </row>
    <row r="184" spans="1:12">
      <c r="A184" s="482"/>
      <c r="B184" s="482"/>
      <c r="C184" s="482"/>
      <c r="D184" s="482"/>
      <c r="E184" s="482"/>
      <c r="F184" s="482"/>
      <c r="G184" s="482"/>
      <c r="H184" s="482"/>
      <c r="I184" s="482"/>
      <c r="J184" s="482"/>
      <c r="K184" s="482"/>
      <c r="L184" s="482"/>
    </row>
    <row r="185" spans="1:12">
      <c r="A185" s="482"/>
      <c r="B185" s="482"/>
      <c r="C185" s="482"/>
      <c r="D185" s="482"/>
      <c r="E185" s="482"/>
      <c r="F185" s="482"/>
      <c r="G185" s="482"/>
      <c r="H185" s="482"/>
      <c r="I185" s="482"/>
      <c r="J185" s="482"/>
      <c r="K185" s="482"/>
      <c r="L185" s="482"/>
    </row>
    <row r="186" spans="1:12">
      <c r="A186" s="482"/>
      <c r="B186" s="482"/>
      <c r="C186" s="482"/>
      <c r="D186" s="482"/>
      <c r="E186" s="482"/>
      <c r="F186" s="482"/>
      <c r="G186" s="482"/>
      <c r="H186" s="482"/>
      <c r="I186" s="482"/>
      <c r="J186" s="482"/>
      <c r="K186" s="482"/>
      <c r="L186" s="482"/>
    </row>
    <row r="187" spans="1:12">
      <c r="A187" s="482"/>
      <c r="B187" s="482"/>
      <c r="C187" s="482"/>
      <c r="D187" s="482"/>
      <c r="E187" s="482"/>
      <c r="F187" s="482"/>
      <c r="G187" s="482"/>
      <c r="H187" s="482"/>
      <c r="I187" s="482"/>
      <c r="J187" s="482"/>
      <c r="K187" s="482"/>
      <c r="L187" s="482"/>
    </row>
    <row r="188" spans="1:12">
      <c r="A188" s="482"/>
      <c r="B188" s="482"/>
      <c r="C188" s="482"/>
      <c r="D188" s="482"/>
      <c r="E188" s="482"/>
      <c r="F188" s="482"/>
      <c r="G188" s="482"/>
      <c r="H188" s="482"/>
      <c r="I188" s="482"/>
      <c r="J188" s="482"/>
      <c r="K188" s="482"/>
      <c r="L188" s="482"/>
    </row>
    <row r="189" spans="1:12">
      <c r="A189" s="482"/>
      <c r="B189" s="482"/>
      <c r="C189" s="482"/>
      <c r="D189" s="482"/>
      <c r="E189" s="482"/>
      <c r="F189" s="482"/>
      <c r="G189" s="482"/>
      <c r="H189" s="482"/>
      <c r="I189" s="482"/>
      <c r="J189" s="482"/>
      <c r="K189" s="482"/>
      <c r="L189" s="482"/>
    </row>
    <row r="190" spans="1:12">
      <c r="A190" s="482"/>
      <c r="B190" s="482"/>
      <c r="C190" s="482"/>
      <c r="D190" s="482"/>
      <c r="E190" s="482"/>
      <c r="F190" s="482"/>
      <c r="G190" s="482"/>
      <c r="H190" s="482"/>
      <c r="I190" s="482"/>
      <c r="J190" s="482"/>
      <c r="K190" s="482"/>
      <c r="L190" s="482"/>
    </row>
    <row r="191" spans="1:12">
      <c r="A191" s="482"/>
      <c r="B191" s="482"/>
      <c r="C191" s="482"/>
      <c r="D191" s="482"/>
      <c r="E191" s="482"/>
      <c r="F191" s="482"/>
      <c r="G191" s="482"/>
      <c r="H191" s="482"/>
      <c r="I191" s="482"/>
      <c r="J191" s="482"/>
      <c r="K191" s="482"/>
      <c r="L191" s="482"/>
    </row>
    <row r="192" spans="1:12">
      <c r="A192" s="482"/>
      <c r="B192" s="482"/>
      <c r="C192" s="482"/>
      <c r="D192" s="482"/>
      <c r="E192" s="482"/>
      <c r="F192" s="482"/>
      <c r="G192" s="482"/>
      <c r="H192" s="482"/>
      <c r="I192" s="482"/>
      <c r="J192" s="482"/>
      <c r="K192" s="482"/>
      <c r="L192" s="482"/>
    </row>
    <row r="193" spans="1:12">
      <c r="A193" s="482"/>
      <c r="B193" s="482"/>
      <c r="C193" s="482"/>
      <c r="D193" s="482"/>
      <c r="E193" s="482"/>
      <c r="F193" s="482"/>
      <c r="G193" s="482"/>
      <c r="H193" s="482"/>
      <c r="I193" s="482"/>
      <c r="J193" s="482"/>
      <c r="K193" s="482"/>
      <c r="L193" s="482"/>
    </row>
    <row r="194" spans="1:12">
      <c r="A194" s="482"/>
      <c r="B194" s="482"/>
      <c r="C194" s="482"/>
      <c r="D194" s="482"/>
      <c r="E194" s="482"/>
      <c r="F194" s="482"/>
      <c r="G194" s="482"/>
      <c r="H194" s="482"/>
      <c r="I194" s="482"/>
      <c r="J194" s="482"/>
      <c r="K194" s="482"/>
      <c r="L194" s="482"/>
    </row>
    <row r="195" spans="1:12">
      <c r="A195" s="482"/>
      <c r="B195" s="482"/>
      <c r="C195" s="482"/>
      <c r="D195" s="482"/>
      <c r="E195" s="482"/>
      <c r="F195" s="482"/>
      <c r="G195" s="482"/>
      <c r="H195" s="482"/>
      <c r="I195" s="482"/>
      <c r="J195" s="482"/>
      <c r="K195" s="482"/>
      <c r="L195" s="482"/>
    </row>
    <row r="196" spans="1:12">
      <c r="A196" s="482"/>
      <c r="B196" s="482"/>
      <c r="C196" s="482"/>
      <c r="D196" s="482"/>
      <c r="E196" s="482"/>
      <c r="F196" s="482"/>
      <c r="G196" s="482"/>
      <c r="H196" s="482"/>
      <c r="I196" s="482"/>
      <c r="J196" s="482"/>
      <c r="K196" s="482"/>
      <c r="L196" s="482"/>
    </row>
    <row r="197" spans="1:12">
      <c r="A197" s="482"/>
      <c r="B197" s="482"/>
      <c r="C197" s="482"/>
      <c r="D197" s="482"/>
      <c r="E197" s="482"/>
      <c r="F197" s="482"/>
      <c r="G197" s="482"/>
      <c r="H197" s="482"/>
      <c r="I197" s="482"/>
      <c r="J197" s="482"/>
      <c r="K197" s="482"/>
      <c r="L197" s="482"/>
    </row>
    <row r="198" spans="1:12">
      <c r="A198" s="482"/>
      <c r="B198" s="482"/>
      <c r="C198" s="482"/>
      <c r="D198" s="482"/>
      <c r="E198" s="482"/>
      <c r="F198" s="482"/>
      <c r="G198" s="482"/>
      <c r="H198" s="482"/>
      <c r="I198" s="482"/>
      <c r="J198" s="482"/>
      <c r="K198" s="482"/>
      <c r="L198" s="482"/>
    </row>
    <row r="199" spans="1:12">
      <c r="A199" s="482"/>
      <c r="B199" s="482"/>
      <c r="C199" s="482"/>
      <c r="D199" s="482"/>
      <c r="E199" s="482"/>
      <c r="F199" s="482"/>
      <c r="G199" s="482"/>
      <c r="H199" s="482"/>
      <c r="I199" s="482"/>
      <c r="J199" s="482"/>
      <c r="K199" s="482"/>
      <c r="L199" s="482"/>
    </row>
    <row r="200" spans="1:12">
      <c r="A200" s="482"/>
      <c r="B200" s="482"/>
      <c r="C200" s="482"/>
      <c r="D200" s="482"/>
      <c r="E200" s="482"/>
      <c r="F200" s="482"/>
      <c r="G200" s="482"/>
      <c r="H200" s="482"/>
      <c r="I200" s="482"/>
      <c r="J200" s="482"/>
      <c r="K200" s="482"/>
      <c r="L200" s="482"/>
    </row>
    <row r="201" spans="1:12">
      <c r="A201" s="482"/>
      <c r="B201" s="482"/>
      <c r="C201" s="482"/>
      <c r="D201" s="482"/>
      <c r="E201" s="482"/>
      <c r="F201" s="482"/>
      <c r="G201" s="482"/>
      <c r="H201" s="482"/>
      <c r="I201" s="482"/>
      <c r="J201" s="482"/>
      <c r="K201" s="482"/>
      <c r="L201" s="482"/>
    </row>
    <row r="202" spans="1:12">
      <c r="A202" s="482"/>
      <c r="B202" s="482"/>
      <c r="C202" s="482"/>
      <c r="D202" s="482"/>
      <c r="E202" s="482"/>
      <c r="F202" s="482"/>
      <c r="G202" s="482"/>
      <c r="H202" s="482"/>
      <c r="I202" s="482"/>
      <c r="J202" s="482"/>
      <c r="K202" s="482"/>
      <c r="L202" s="482"/>
    </row>
    <row r="203" spans="1:12">
      <c r="A203" s="482"/>
      <c r="B203" s="482"/>
      <c r="C203" s="482"/>
      <c r="D203" s="482"/>
      <c r="E203" s="482"/>
      <c r="F203" s="482"/>
      <c r="G203" s="482"/>
      <c r="H203" s="482"/>
      <c r="I203" s="482"/>
      <c r="J203" s="482"/>
      <c r="K203" s="482"/>
      <c r="L203" s="482"/>
    </row>
    <row r="204" spans="1:12">
      <c r="A204" s="482"/>
      <c r="B204" s="482"/>
      <c r="C204" s="482"/>
      <c r="D204" s="482"/>
      <c r="E204" s="482"/>
      <c r="F204" s="482"/>
      <c r="G204" s="482"/>
      <c r="H204" s="482"/>
      <c r="I204" s="482"/>
      <c r="J204" s="482"/>
      <c r="K204" s="482"/>
      <c r="L204" s="482"/>
    </row>
    <row r="205" spans="1:12">
      <c r="A205" s="482"/>
      <c r="B205" s="482"/>
      <c r="C205" s="482"/>
      <c r="D205" s="482"/>
      <c r="E205" s="482"/>
      <c r="F205" s="482"/>
      <c r="G205" s="482"/>
      <c r="H205" s="482"/>
      <c r="I205" s="482"/>
      <c r="J205" s="482"/>
      <c r="K205" s="482"/>
      <c r="L205" s="482"/>
    </row>
    <row r="206" spans="1:12">
      <c r="A206" s="482"/>
      <c r="B206" s="482"/>
      <c r="C206" s="482"/>
      <c r="D206" s="482"/>
      <c r="E206" s="482"/>
      <c r="F206" s="482"/>
      <c r="G206" s="482"/>
      <c r="H206" s="482"/>
      <c r="I206" s="482"/>
      <c r="J206" s="482"/>
      <c r="K206" s="482"/>
      <c r="L206" s="482"/>
    </row>
    <row r="207" spans="1:12">
      <c r="A207" s="482"/>
      <c r="B207" s="482"/>
      <c r="C207" s="482"/>
      <c r="D207" s="482"/>
      <c r="E207" s="482"/>
      <c r="F207" s="482"/>
      <c r="G207" s="482"/>
      <c r="H207" s="482"/>
      <c r="I207" s="482"/>
      <c r="J207" s="482"/>
      <c r="K207" s="482"/>
      <c r="L207" s="482"/>
    </row>
    <row r="208" spans="1:12">
      <c r="A208" s="482"/>
      <c r="B208" s="482"/>
      <c r="C208" s="482"/>
      <c r="D208" s="482"/>
      <c r="E208" s="482"/>
      <c r="F208" s="482"/>
      <c r="G208" s="482"/>
      <c r="H208" s="482"/>
      <c r="I208" s="482"/>
      <c r="J208" s="482"/>
      <c r="K208" s="482"/>
      <c r="L208" s="482"/>
    </row>
    <row r="209" spans="1:12">
      <c r="A209" s="482"/>
      <c r="B209" s="482"/>
      <c r="C209" s="482"/>
      <c r="D209" s="482"/>
      <c r="E209" s="482"/>
      <c r="F209" s="482"/>
      <c r="G209" s="482"/>
      <c r="H209" s="482"/>
      <c r="I209" s="482"/>
      <c r="J209" s="482"/>
      <c r="K209" s="482"/>
      <c r="L209" s="482"/>
    </row>
    <row r="210" spans="1:12">
      <c r="A210" s="482"/>
      <c r="B210" s="482"/>
      <c r="C210" s="482"/>
      <c r="D210" s="482"/>
      <c r="E210" s="482"/>
      <c r="F210" s="482"/>
      <c r="G210" s="482"/>
      <c r="H210" s="482"/>
      <c r="I210" s="482"/>
      <c r="J210" s="482"/>
      <c r="K210" s="482"/>
      <c r="L210" s="482"/>
    </row>
    <row r="211" spans="1:12">
      <c r="A211" s="482"/>
      <c r="B211" s="482"/>
      <c r="C211" s="482"/>
      <c r="D211" s="482"/>
      <c r="E211" s="482"/>
      <c r="F211" s="482"/>
      <c r="G211" s="482"/>
      <c r="H211" s="482"/>
      <c r="I211" s="482"/>
      <c r="J211" s="482"/>
      <c r="K211" s="482"/>
      <c r="L211" s="482"/>
    </row>
    <row r="212" spans="1:12">
      <c r="A212" s="482"/>
      <c r="B212" s="482"/>
      <c r="C212" s="482"/>
      <c r="D212" s="482"/>
      <c r="E212" s="482"/>
      <c r="F212" s="482"/>
      <c r="G212" s="482"/>
      <c r="H212" s="482"/>
      <c r="I212" s="482"/>
      <c r="J212" s="482"/>
      <c r="K212" s="482"/>
      <c r="L212" s="482"/>
    </row>
    <row r="213" spans="1:12">
      <c r="A213" s="482"/>
      <c r="B213" s="482"/>
      <c r="C213" s="482"/>
      <c r="D213" s="482"/>
      <c r="E213" s="482"/>
      <c r="F213" s="482"/>
      <c r="G213" s="482"/>
      <c r="H213" s="482"/>
      <c r="I213" s="482"/>
      <c r="J213" s="482"/>
      <c r="K213" s="482"/>
      <c r="L213" s="482"/>
    </row>
    <row r="214" spans="1:12">
      <c r="A214" s="482"/>
      <c r="B214" s="482"/>
      <c r="C214" s="482"/>
      <c r="D214" s="482"/>
      <c r="E214" s="482"/>
      <c r="F214" s="482"/>
      <c r="G214" s="482"/>
      <c r="H214" s="482"/>
      <c r="I214" s="482"/>
      <c r="J214" s="482"/>
      <c r="K214" s="482"/>
      <c r="L214" s="482"/>
    </row>
    <row r="215" spans="1:12">
      <c r="A215" s="482"/>
      <c r="B215" s="482"/>
      <c r="C215" s="482"/>
      <c r="D215" s="482"/>
      <c r="E215" s="482"/>
      <c r="F215" s="482"/>
      <c r="G215" s="482"/>
      <c r="H215" s="482"/>
      <c r="I215" s="482"/>
      <c r="J215" s="482"/>
      <c r="K215" s="482"/>
      <c r="L215" s="482"/>
    </row>
    <row r="216" spans="1:12">
      <c r="A216" s="482"/>
      <c r="B216" s="482"/>
      <c r="C216" s="482"/>
      <c r="D216" s="482"/>
      <c r="E216" s="482"/>
      <c r="F216" s="482"/>
      <c r="G216" s="482"/>
      <c r="H216" s="482"/>
      <c r="I216" s="482"/>
      <c r="J216" s="482"/>
      <c r="K216" s="482"/>
      <c r="L216" s="482"/>
    </row>
    <row r="217" spans="1:12">
      <c r="A217" s="482"/>
      <c r="B217" s="482"/>
      <c r="C217" s="482"/>
      <c r="D217" s="482"/>
      <c r="E217" s="482"/>
      <c r="F217" s="482"/>
      <c r="G217" s="482"/>
      <c r="H217" s="482"/>
      <c r="I217" s="482"/>
      <c r="J217" s="482"/>
      <c r="K217" s="482"/>
      <c r="L217" s="482"/>
    </row>
    <row r="218" spans="1:12">
      <c r="A218" s="482"/>
      <c r="B218" s="482"/>
      <c r="C218" s="482"/>
      <c r="D218" s="482"/>
      <c r="E218" s="482"/>
      <c r="F218" s="482"/>
      <c r="G218" s="482"/>
      <c r="H218" s="482"/>
      <c r="I218" s="482"/>
      <c r="J218" s="482"/>
      <c r="K218" s="482"/>
      <c r="L218" s="482"/>
    </row>
    <row r="219" spans="1:12">
      <c r="A219" s="482"/>
      <c r="B219" s="482"/>
      <c r="C219" s="482"/>
      <c r="D219" s="482"/>
      <c r="E219" s="482"/>
      <c r="F219" s="482"/>
      <c r="G219" s="482"/>
      <c r="H219" s="482"/>
      <c r="I219" s="482"/>
      <c r="J219" s="482"/>
      <c r="K219" s="482"/>
      <c r="L219" s="482"/>
    </row>
    <row r="220" spans="1:12">
      <c r="A220" s="482"/>
      <c r="B220" s="482"/>
      <c r="C220" s="482"/>
      <c r="D220" s="482"/>
      <c r="E220" s="482"/>
      <c r="F220" s="482"/>
      <c r="G220" s="482"/>
      <c r="H220" s="482"/>
      <c r="I220" s="482"/>
      <c r="J220" s="482"/>
      <c r="K220" s="482"/>
      <c r="L220" s="482"/>
    </row>
    <row r="221" spans="1:12">
      <c r="A221" s="482"/>
      <c r="B221" s="482"/>
      <c r="C221" s="482"/>
      <c r="D221" s="482"/>
      <c r="E221" s="482"/>
      <c r="F221" s="482"/>
      <c r="G221" s="482"/>
      <c r="H221" s="482"/>
      <c r="I221" s="482"/>
      <c r="J221" s="482"/>
      <c r="K221" s="482"/>
      <c r="L221" s="482"/>
    </row>
    <row r="222" spans="1:12">
      <c r="A222" s="482"/>
      <c r="B222" s="482"/>
      <c r="C222" s="482"/>
      <c r="D222" s="482"/>
      <c r="E222" s="482"/>
      <c r="F222" s="482"/>
      <c r="G222" s="482"/>
      <c r="H222" s="482"/>
      <c r="I222" s="482"/>
      <c r="J222" s="482"/>
      <c r="K222" s="482"/>
      <c r="L222" s="482"/>
    </row>
    <row r="223" spans="1:12">
      <c r="A223" s="482"/>
      <c r="B223" s="482"/>
      <c r="C223" s="482"/>
      <c r="D223" s="482"/>
      <c r="E223" s="482"/>
      <c r="F223" s="482"/>
      <c r="G223" s="482"/>
      <c r="H223" s="482"/>
      <c r="I223" s="482"/>
      <c r="J223" s="482"/>
      <c r="K223" s="482"/>
      <c r="L223" s="482"/>
    </row>
    <row r="224" spans="1:12">
      <c r="A224" s="482"/>
      <c r="B224" s="482"/>
      <c r="C224" s="482"/>
      <c r="D224" s="482"/>
      <c r="E224" s="482"/>
      <c r="F224" s="482"/>
      <c r="G224" s="482"/>
      <c r="H224" s="482"/>
      <c r="I224" s="482"/>
      <c r="J224" s="482"/>
      <c r="K224" s="482"/>
      <c r="L224" s="482"/>
    </row>
    <row r="225" spans="1:12">
      <c r="A225" s="482"/>
      <c r="B225" s="482"/>
      <c r="C225" s="482"/>
      <c r="D225" s="482"/>
      <c r="E225" s="482"/>
      <c r="F225" s="482"/>
      <c r="G225" s="482"/>
      <c r="H225" s="482"/>
      <c r="I225" s="482"/>
      <c r="J225" s="482"/>
      <c r="K225" s="482"/>
      <c r="L225" s="482"/>
    </row>
    <row r="226" spans="1:12">
      <c r="A226" s="482"/>
      <c r="B226" s="482"/>
      <c r="C226" s="482"/>
      <c r="D226" s="482"/>
      <c r="E226" s="482"/>
      <c r="F226" s="482"/>
      <c r="G226" s="482"/>
      <c r="H226" s="482"/>
      <c r="I226" s="482"/>
      <c r="J226" s="482"/>
      <c r="K226" s="482"/>
      <c r="L226" s="482"/>
    </row>
    <row r="227" spans="1:12">
      <c r="A227" s="482"/>
      <c r="B227" s="482"/>
      <c r="C227" s="482"/>
      <c r="D227" s="482"/>
      <c r="E227" s="482"/>
      <c r="F227" s="482"/>
      <c r="G227" s="482"/>
      <c r="H227" s="482"/>
      <c r="I227" s="482"/>
      <c r="J227" s="482"/>
      <c r="K227" s="482"/>
      <c r="L227" s="482"/>
    </row>
    <row r="228" spans="1:12">
      <c r="A228" s="482"/>
      <c r="B228" s="482"/>
      <c r="C228" s="482"/>
      <c r="D228" s="482"/>
      <c r="E228" s="482"/>
      <c r="F228" s="482"/>
      <c r="G228" s="482"/>
      <c r="H228" s="482"/>
      <c r="I228" s="482"/>
      <c r="J228" s="482"/>
      <c r="K228" s="482"/>
      <c r="L228" s="482"/>
    </row>
    <row r="229" spans="1:12">
      <c r="A229" s="482"/>
      <c r="B229" s="482"/>
      <c r="C229" s="482"/>
      <c r="D229" s="482"/>
      <c r="E229" s="482"/>
      <c r="F229" s="482"/>
      <c r="G229" s="482"/>
      <c r="H229" s="482"/>
      <c r="I229" s="482"/>
      <c r="J229" s="482"/>
      <c r="K229" s="482"/>
      <c r="L229" s="482"/>
    </row>
    <row r="230" spans="1:12">
      <c r="A230" s="482"/>
      <c r="B230" s="482"/>
      <c r="C230" s="482"/>
      <c r="D230" s="482"/>
      <c r="E230" s="482"/>
      <c r="F230" s="482"/>
      <c r="G230" s="482"/>
      <c r="H230" s="482"/>
      <c r="I230" s="482"/>
      <c r="J230" s="482"/>
      <c r="K230" s="482"/>
      <c r="L230" s="482"/>
    </row>
    <row r="231" spans="1:12">
      <c r="A231" s="482"/>
      <c r="B231" s="482"/>
      <c r="C231" s="482"/>
      <c r="D231" s="482"/>
      <c r="E231" s="482"/>
      <c r="F231" s="482"/>
      <c r="G231" s="482"/>
      <c r="H231" s="482"/>
      <c r="I231" s="482"/>
      <c r="J231" s="482"/>
      <c r="K231" s="482"/>
      <c r="L231" s="482"/>
    </row>
    <row r="232" spans="1:12">
      <c r="A232" s="482"/>
      <c r="B232" s="482"/>
      <c r="C232" s="482"/>
      <c r="D232" s="482"/>
      <c r="E232" s="482"/>
      <c r="F232" s="482"/>
      <c r="G232" s="482"/>
      <c r="H232" s="482"/>
      <c r="I232" s="482"/>
      <c r="J232" s="482"/>
      <c r="K232" s="482"/>
      <c r="L232" s="482"/>
    </row>
    <row r="233" spans="1:12">
      <c r="A233" s="482"/>
      <c r="B233" s="482"/>
      <c r="C233" s="482"/>
      <c r="D233" s="482"/>
      <c r="E233" s="482"/>
      <c r="F233" s="482"/>
      <c r="G233" s="482"/>
      <c r="H233" s="482"/>
      <c r="I233" s="482"/>
      <c r="J233" s="482"/>
      <c r="K233" s="482"/>
      <c r="L233" s="482"/>
    </row>
    <row r="234" spans="1:12">
      <c r="A234" s="482"/>
      <c r="B234" s="482"/>
      <c r="C234" s="482"/>
      <c r="D234" s="482"/>
      <c r="E234" s="482"/>
      <c r="F234" s="482"/>
      <c r="G234" s="482"/>
      <c r="H234" s="482"/>
      <c r="I234" s="482"/>
      <c r="J234" s="482"/>
      <c r="K234" s="482"/>
      <c r="L234" s="482"/>
    </row>
    <row r="235" spans="1:12">
      <c r="A235" s="482"/>
      <c r="B235" s="482"/>
      <c r="C235" s="482"/>
      <c r="D235" s="482"/>
      <c r="E235" s="482"/>
      <c r="F235" s="482"/>
      <c r="G235" s="482"/>
      <c r="H235" s="482"/>
      <c r="I235" s="482"/>
      <c r="J235" s="482"/>
      <c r="K235" s="482"/>
      <c r="L235" s="482"/>
    </row>
    <row r="236" spans="1:12">
      <c r="A236" s="482"/>
      <c r="B236" s="482"/>
      <c r="C236" s="482"/>
      <c r="D236" s="482"/>
      <c r="E236" s="482"/>
      <c r="F236" s="482"/>
      <c r="G236" s="482"/>
      <c r="H236" s="482"/>
      <c r="I236" s="482"/>
      <c r="J236" s="482"/>
      <c r="K236" s="482"/>
      <c r="L236" s="482"/>
    </row>
    <row r="237" spans="1:12">
      <c r="A237" s="482"/>
      <c r="B237" s="482"/>
      <c r="C237" s="482"/>
      <c r="D237" s="482"/>
      <c r="E237" s="482"/>
      <c r="F237" s="482"/>
      <c r="G237" s="482"/>
      <c r="H237" s="482"/>
      <c r="I237" s="482"/>
      <c r="J237" s="482"/>
      <c r="K237" s="482"/>
      <c r="L237" s="482"/>
    </row>
    <row r="238" spans="1:12">
      <c r="A238" s="482"/>
      <c r="B238" s="482"/>
      <c r="C238" s="482"/>
      <c r="D238" s="482"/>
      <c r="E238" s="482"/>
      <c r="F238" s="482"/>
      <c r="G238" s="482"/>
      <c r="H238" s="482"/>
      <c r="I238" s="482"/>
      <c r="J238" s="482"/>
      <c r="K238" s="482"/>
      <c r="L238" s="482"/>
    </row>
    <row r="239" spans="1:12">
      <c r="A239" s="482"/>
      <c r="B239" s="482"/>
      <c r="C239" s="482"/>
      <c r="D239" s="482"/>
      <c r="E239" s="482"/>
      <c r="F239" s="482"/>
      <c r="G239" s="482"/>
      <c r="H239" s="482"/>
      <c r="I239" s="482"/>
      <c r="J239" s="482"/>
      <c r="K239" s="482"/>
      <c r="L239" s="482"/>
    </row>
    <row r="240" spans="1:12">
      <c r="A240" s="482"/>
      <c r="B240" s="482"/>
      <c r="C240" s="482"/>
      <c r="D240" s="482"/>
      <c r="E240" s="482"/>
      <c r="F240" s="482"/>
      <c r="G240" s="482"/>
      <c r="H240" s="482"/>
      <c r="I240" s="482"/>
      <c r="J240" s="482"/>
      <c r="K240" s="482"/>
      <c r="L240" s="482"/>
    </row>
    <row r="241" spans="1:12">
      <c r="A241" s="482"/>
      <c r="B241" s="482"/>
      <c r="C241" s="482"/>
      <c r="D241" s="482"/>
      <c r="E241" s="482"/>
      <c r="F241" s="482"/>
      <c r="G241" s="482"/>
      <c r="H241" s="482"/>
      <c r="I241" s="482"/>
      <c r="J241" s="482"/>
      <c r="K241" s="482"/>
      <c r="L241" s="482"/>
    </row>
    <row r="242" spans="1:12">
      <c r="A242" s="482"/>
      <c r="B242" s="482"/>
      <c r="C242" s="482"/>
      <c r="D242" s="482"/>
      <c r="E242" s="482"/>
      <c r="F242" s="482"/>
      <c r="G242" s="482"/>
      <c r="H242" s="482"/>
      <c r="I242" s="482"/>
      <c r="J242" s="482"/>
      <c r="K242" s="482"/>
      <c r="L242" s="482"/>
    </row>
    <row r="243" spans="1:12">
      <c r="A243" s="482"/>
      <c r="B243" s="482"/>
      <c r="C243" s="482"/>
      <c r="D243" s="482"/>
      <c r="E243" s="482"/>
      <c r="F243" s="482"/>
      <c r="G243" s="482"/>
      <c r="H243" s="482"/>
      <c r="I243" s="482"/>
      <c r="J243" s="482"/>
      <c r="K243" s="482"/>
      <c r="L243" s="482"/>
    </row>
    <row r="244" spans="1:12">
      <c r="A244" s="482"/>
      <c r="B244" s="482"/>
      <c r="C244" s="482"/>
      <c r="D244" s="482"/>
      <c r="E244" s="482"/>
      <c r="F244" s="482"/>
      <c r="G244" s="482"/>
      <c r="H244" s="482"/>
      <c r="I244" s="482"/>
      <c r="J244" s="482"/>
      <c r="K244" s="482"/>
      <c r="L244" s="482"/>
    </row>
    <row r="245" spans="1:12">
      <c r="A245" s="482"/>
      <c r="B245" s="482"/>
      <c r="C245" s="482"/>
      <c r="D245" s="482"/>
      <c r="E245" s="482"/>
      <c r="F245" s="482"/>
      <c r="G245" s="482"/>
      <c r="H245" s="482"/>
      <c r="I245" s="482"/>
      <c r="J245" s="482"/>
      <c r="K245" s="482"/>
      <c r="L245" s="482"/>
    </row>
    <row r="246" spans="1:12">
      <c r="A246" s="482"/>
      <c r="B246" s="482"/>
      <c r="C246" s="482"/>
      <c r="D246" s="482"/>
      <c r="E246" s="482"/>
      <c r="F246" s="482"/>
      <c r="G246" s="482"/>
      <c r="H246" s="482"/>
      <c r="I246" s="482"/>
      <c r="J246" s="482"/>
      <c r="K246" s="482"/>
      <c r="L246" s="482"/>
    </row>
    <row r="247" spans="1:12">
      <c r="A247" s="482"/>
      <c r="B247" s="482"/>
      <c r="C247" s="482"/>
      <c r="D247" s="482"/>
      <c r="E247" s="482"/>
      <c r="F247" s="482"/>
      <c r="G247" s="482"/>
      <c r="H247" s="482"/>
      <c r="I247" s="482"/>
      <c r="J247" s="482"/>
      <c r="K247" s="482"/>
      <c r="L247" s="482"/>
    </row>
    <row r="248" spans="1:12">
      <c r="A248" s="482"/>
      <c r="B248" s="482"/>
      <c r="C248" s="482"/>
      <c r="D248" s="482"/>
      <c r="E248" s="482"/>
      <c r="F248" s="482"/>
      <c r="G248" s="482"/>
      <c r="H248" s="482"/>
      <c r="I248" s="482"/>
      <c r="J248" s="482"/>
      <c r="K248" s="482"/>
      <c r="L248" s="482"/>
    </row>
    <row r="249" spans="1:12">
      <c r="A249" s="482"/>
      <c r="B249" s="482"/>
      <c r="C249" s="482"/>
      <c r="D249" s="482"/>
      <c r="E249" s="482"/>
      <c r="F249" s="482"/>
      <c r="G249" s="482"/>
      <c r="H249" s="482"/>
      <c r="I249" s="482"/>
      <c r="J249" s="482"/>
      <c r="K249" s="482"/>
      <c r="L249" s="482"/>
    </row>
    <row r="250" spans="1:12">
      <c r="A250" s="482"/>
      <c r="B250" s="482"/>
      <c r="C250" s="482"/>
      <c r="D250" s="482"/>
      <c r="E250" s="482"/>
      <c r="F250" s="482"/>
      <c r="G250" s="482"/>
      <c r="H250" s="482"/>
      <c r="I250" s="482"/>
      <c r="J250" s="482"/>
      <c r="K250" s="482"/>
      <c r="L250" s="482"/>
    </row>
    <row r="251" spans="1:12">
      <c r="A251" s="482"/>
      <c r="B251" s="482"/>
      <c r="C251" s="482"/>
      <c r="D251" s="482"/>
      <c r="E251" s="482"/>
      <c r="F251" s="482"/>
      <c r="G251" s="482"/>
      <c r="H251" s="482"/>
      <c r="I251" s="482"/>
      <c r="J251" s="482"/>
      <c r="K251" s="482"/>
      <c r="L251" s="482"/>
    </row>
    <row r="252" spans="1:12">
      <c r="A252" s="482"/>
      <c r="B252" s="482"/>
      <c r="C252" s="482"/>
      <c r="D252" s="482"/>
      <c r="E252" s="482"/>
      <c r="F252" s="482"/>
      <c r="G252" s="482"/>
      <c r="H252" s="482"/>
      <c r="I252" s="482"/>
      <c r="J252" s="482"/>
      <c r="K252" s="482"/>
      <c r="L252" s="482"/>
    </row>
    <row r="253" spans="1:12">
      <c r="A253" s="482"/>
      <c r="B253" s="482"/>
      <c r="C253" s="482"/>
      <c r="D253" s="482"/>
      <c r="E253" s="482"/>
      <c r="F253" s="482"/>
      <c r="G253" s="482"/>
      <c r="H253" s="482"/>
      <c r="I253" s="482"/>
      <c r="J253" s="482"/>
      <c r="K253" s="482"/>
      <c r="L253" s="482"/>
    </row>
    <row r="254" spans="1:12">
      <c r="A254" s="482"/>
      <c r="B254" s="482"/>
      <c r="C254" s="482"/>
      <c r="D254" s="482"/>
      <c r="E254" s="482"/>
      <c r="F254" s="482"/>
      <c r="G254" s="482"/>
      <c r="H254" s="482"/>
      <c r="I254" s="482"/>
      <c r="J254" s="482"/>
      <c r="K254" s="482"/>
      <c r="L254" s="482"/>
    </row>
    <row r="255" spans="1:12">
      <c r="A255" s="482"/>
      <c r="B255" s="482"/>
      <c r="C255" s="482"/>
      <c r="D255" s="482"/>
      <c r="E255" s="482"/>
      <c r="F255" s="482"/>
      <c r="G255" s="482"/>
      <c r="H255" s="482"/>
      <c r="I255" s="482"/>
      <c r="J255" s="482"/>
      <c r="K255" s="482"/>
      <c r="L255" s="482"/>
    </row>
    <row r="256" spans="1:12">
      <c r="A256" s="482"/>
      <c r="B256" s="482"/>
      <c r="C256" s="482"/>
      <c r="D256" s="482"/>
      <c r="E256" s="482"/>
      <c r="F256" s="482"/>
      <c r="G256" s="482"/>
      <c r="H256" s="482"/>
      <c r="I256" s="482"/>
      <c r="J256" s="482"/>
      <c r="K256" s="482"/>
      <c r="L256" s="482"/>
    </row>
    <row r="257" spans="1:12">
      <c r="A257" s="482"/>
      <c r="B257" s="482"/>
      <c r="C257" s="482"/>
      <c r="D257" s="482"/>
      <c r="E257" s="482"/>
      <c r="F257" s="482"/>
      <c r="G257" s="482"/>
      <c r="H257" s="482"/>
      <c r="I257" s="482"/>
      <c r="J257" s="482"/>
      <c r="K257" s="482"/>
      <c r="L257" s="482"/>
    </row>
    <row r="258" spans="1:12">
      <c r="A258" s="482"/>
      <c r="B258" s="482"/>
      <c r="C258" s="482"/>
      <c r="D258" s="482"/>
      <c r="E258" s="482"/>
      <c r="F258" s="482"/>
      <c r="G258" s="482"/>
      <c r="H258" s="482"/>
      <c r="I258" s="482"/>
      <c r="J258" s="482"/>
      <c r="K258" s="482"/>
      <c r="L258" s="482"/>
    </row>
    <row r="259" spans="1:12">
      <c r="A259" s="482"/>
      <c r="B259" s="482"/>
      <c r="C259" s="482"/>
      <c r="D259" s="482"/>
      <c r="E259" s="482"/>
      <c r="F259" s="482"/>
      <c r="G259" s="482"/>
      <c r="H259" s="482"/>
      <c r="I259" s="482"/>
      <c r="J259" s="482"/>
      <c r="K259" s="482"/>
      <c r="L259" s="482"/>
    </row>
    <row r="260" spans="1:12">
      <c r="A260" s="482"/>
      <c r="B260" s="482"/>
      <c r="C260" s="482"/>
      <c r="D260" s="482"/>
      <c r="E260" s="482"/>
      <c r="F260" s="482"/>
      <c r="G260" s="482"/>
      <c r="H260" s="482"/>
      <c r="I260" s="482"/>
      <c r="J260" s="482"/>
      <c r="K260" s="482"/>
      <c r="L260" s="482"/>
    </row>
    <row r="261" spans="1:12">
      <c r="A261" s="482"/>
      <c r="B261" s="482"/>
      <c r="C261" s="482"/>
      <c r="D261" s="482"/>
      <c r="E261" s="482"/>
      <c r="F261" s="482"/>
      <c r="G261" s="482"/>
      <c r="H261" s="482"/>
      <c r="I261" s="482"/>
      <c r="J261" s="482"/>
      <c r="K261" s="482"/>
      <c r="L261" s="482"/>
    </row>
    <row r="262" spans="1:12">
      <c r="A262" s="482"/>
      <c r="B262" s="482"/>
      <c r="C262" s="482"/>
      <c r="D262" s="482"/>
      <c r="E262" s="482"/>
      <c r="F262" s="482"/>
      <c r="G262" s="482"/>
      <c r="H262" s="482"/>
      <c r="I262" s="482"/>
      <c r="J262" s="482"/>
      <c r="K262" s="482"/>
      <c r="L262" s="482"/>
    </row>
    <row r="263" spans="1:12">
      <c r="A263" s="482"/>
      <c r="B263" s="482"/>
      <c r="C263" s="482"/>
      <c r="D263" s="482"/>
      <c r="E263" s="482"/>
      <c r="F263" s="482"/>
      <c r="G263" s="482"/>
      <c r="H263" s="482"/>
      <c r="I263" s="482"/>
      <c r="J263" s="482"/>
      <c r="K263" s="482"/>
      <c r="L263" s="482"/>
    </row>
    <row r="264" spans="1:12">
      <c r="A264" s="482"/>
      <c r="B264" s="482"/>
      <c r="C264" s="482"/>
      <c r="D264" s="482"/>
      <c r="E264" s="482"/>
      <c r="F264" s="482"/>
      <c r="G264" s="482"/>
      <c r="H264" s="482"/>
      <c r="I264" s="482"/>
      <c r="J264" s="482"/>
      <c r="K264" s="482"/>
      <c r="L264" s="482"/>
    </row>
    <row r="265" spans="1:12">
      <c r="A265" s="482"/>
      <c r="B265" s="482"/>
      <c r="C265" s="482"/>
      <c r="D265" s="482"/>
      <c r="E265" s="482"/>
      <c r="F265" s="482"/>
      <c r="G265" s="482"/>
      <c r="H265" s="482"/>
      <c r="I265" s="482"/>
      <c r="J265" s="482"/>
      <c r="K265" s="482"/>
      <c r="L265" s="482"/>
    </row>
    <row r="266" spans="1:12">
      <c r="A266" s="482"/>
      <c r="B266" s="482"/>
      <c r="C266" s="482"/>
      <c r="D266" s="482"/>
      <c r="E266" s="482"/>
      <c r="F266" s="482"/>
      <c r="G266" s="482"/>
      <c r="H266" s="482"/>
      <c r="I266" s="482"/>
      <c r="J266" s="482"/>
      <c r="K266" s="482"/>
      <c r="L266" s="482"/>
    </row>
    <row r="267" spans="1:12">
      <c r="A267" s="482"/>
      <c r="B267" s="482"/>
      <c r="C267" s="482"/>
      <c r="D267" s="482"/>
      <c r="E267" s="482"/>
      <c r="F267" s="482"/>
      <c r="G267" s="482"/>
      <c r="H267" s="482"/>
      <c r="I267" s="482"/>
      <c r="J267" s="482"/>
      <c r="K267" s="482"/>
      <c r="L267" s="482"/>
    </row>
    <row r="268" spans="1:12">
      <c r="A268" s="482"/>
      <c r="B268" s="482"/>
      <c r="C268" s="482"/>
      <c r="D268" s="482"/>
      <c r="E268" s="482"/>
      <c r="F268" s="482"/>
      <c r="G268" s="482"/>
      <c r="H268" s="482"/>
      <c r="I268" s="482"/>
      <c r="J268" s="482"/>
      <c r="K268" s="482"/>
      <c r="L268" s="482"/>
    </row>
    <row r="269" spans="1:12">
      <c r="A269" s="482"/>
      <c r="B269" s="482"/>
      <c r="C269" s="482"/>
      <c r="D269" s="482"/>
      <c r="E269" s="482"/>
      <c r="F269" s="482"/>
      <c r="G269" s="482"/>
      <c r="H269" s="482"/>
      <c r="I269" s="482"/>
      <c r="J269" s="482"/>
      <c r="K269" s="482"/>
      <c r="L269" s="482"/>
    </row>
    <row r="270" spans="1:12">
      <c r="A270" s="482"/>
      <c r="B270" s="482"/>
      <c r="C270" s="482"/>
      <c r="D270" s="482"/>
      <c r="E270" s="482"/>
      <c r="F270" s="482"/>
      <c r="G270" s="482"/>
      <c r="H270" s="482"/>
      <c r="I270" s="482"/>
      <c r="J270" s="482"/>
      <c r="K270" s="482"/>
      <c r="L270" s="482"/>
    </row>
    <row r="271" spans="1:12">
      <c r="A271" s="482"/>
      <c r="B271" s="482"/>
      <c r="C271" s="482"/>
      <c r="D271" s="482"/>
      <c r="E271" s="482"/>
      <c r="F271" s="482"/>
      <c r="G271" s="482"/>
      <c r="H271" s="482"/>
      <c r="I271" s="482"/>
      <c r="J271" s="482"/>
      <c r="K271" s="482"/>
      <c r="L271" s="482"/>
    </row>
    <row r="272" spans="1:12">
      <c r="A272" s="482"/>
      <c r="B272" s="482"/>
      <c r="C272" s="482"/>
      <c r="D272" s="482"/>
      <c r="E272" s="482"/>
      <c r="F272" s="482"/>
      <c r="G272" s="482"/>
      <c r="H272" s="482"/>
      <c r="I272" s="482"/>
      <c r="J272" s="482"/>
      <c r="K272" s="482"/>
      <c r="L272" s="482"/>
    </row>
    <row r="273" spans="1:12">
      <c r="A273" s="482"/>
      <c r="B273" s="482"/>
      <c r="C273" s="482"/>
      <c r="D273" s="482"/>
      <c r="E273" s="482"/>
      <c r="F273" s="482"/>
      <c r="G273" s="482"/>
      <c r="H273" s="482"/>
      <c r="I273" s="482"/>
      <c r="J273" s="482"/>
      <c r="K273" s="482"/>
      <c r="L273" s="482"/>
    </row>
    <row r="274" spans="1:12">
      <c r="A274" s="482"/>
      <c r="B274" s="482"/>
      <c r="C274" s="482"/>
      <c r="D274" s="482"/>
      <c r="E274" s="482"/>
      <c r="F274" s="482"/>
      <c r="G274" s="482"/>
      <c r="H274" s="482"/>
      <c r="I274" s="482"/>
      <c r="J274" s="482"/>
      <c r="K274" s="482"/>
      <c r="L274" s="482"/>
    </row>
    <row r="275" spans="1:12">
      <c r="A275" s="482"/>
      <c r="B275" s="482"/>
      <c r="C275" s="482"/>
      <c r="D275" s="482"/>
      <c r="E275" s="482"/>
      <c r="F275" s="482"/>
      <c r="G275" s="482"/>
      <c r="H275" s="482"/>
      <c r="I275" s="482"/>
      <c r="J275" s="482"/>
      <c r="K275" s="482"/>
      <c r="L275" s="482"/>
    </row>
    <row r="276" spans="1:12">
      <c r="A276" s="482"/>
      <c r="B276" s="482"/>
      <c r="C276" s="482"/>
      <c r="D276" s="482"/>
      <c r="E276" s="482"/>
      <c r="F276" s="482"/>
      <c r="G276" s="482"/>
      <c r="H276" s="482"/>
      <c r="I276" s="482"/>
      <c r="J276" s="482"/>
      <c r="K276" s="482"/>
      <c r="L276" s="482"/>
    </row>
    <row r="277" spans="1:12">
      <c r="A277" s="482"/>
      <c r="B277" s="482"/>
      <c r="C277" s="482"/>
      <c r="D277" s="482"/>
      <c r="E277" s="482"/>
      <c r="F277" s="482"/>
      <c r="G277" s="482"/>
      <c r="H277" s="482"/>
      <c r="I277" s="482"/>
      <c r="J277" s="482"/>
      <c r="K277" s="482"/>
      <c r="L277" s="482"/>
    </row>
    <row r="278" spans="1:12">
      <c r="A278" s="482"/>
      <c r="B278" s="482"/>
      <c r="C278" s="482"/>
      <c r="D278" s="482"/>
      <c r="E278" s="482"/>
      <c r="F278" s="482"/>
      <c r="G278" s="482"/>
      <c r="H278" s="482"/>
      <c r="I278" s="482"/>
      <c r="J278" s="482"/>
      <c r="K278" s="482"/>
      <c r="L278" s="482"/>
    </row>
    <row r="279" spans="1:12">
      <c r="A279" s="482"/>
      <c r="B279" s="482"/>
      <c r="C279" s="482"/>
      <c r="D279" s="482"/>
      <c r="E279" s="482"/>
      <c r="F279" s="482"/>
      <c r="G279" s="482"/>
      <c r="H279" s="482"/>
      <c r="I279" s="482"/>
      <c r="J279" s="482"/>
      <c r="K279" s="482"/>
      <c r="L279" s="482"/>
    </row>
    <row r="280" spans="1:12">
      <c r="A280" s="482"/>
      <c r="B280" s="482"/>
      <c r="C280" s="482"/>
      <c r="D280" s="482"/>
      <c r="E280" s="482"/>
      <c r="F280" s="482"/>
      <c r="G280" s="482"/>
      <c r="H280" s="482"/>
      <c r="I280" s="482"/>
      <c r="J280" s="482"/>
      <c r="K280" s="482"/>
      <c r="L280" s="482"/>
    </row>
    <row r="281" spans="1:12">
      <c r="A281" s="482"/>
      <c r="B281" s="482"/>
      <c r="C281" s="482"/>
      <c r="D281" s="482"/>
      <c r="E281" s="482"/>
      <c r="F281" s="482"/>
      <c r="G281" s="482"/>
      <c r="H281" s="482"/>
      <c r="I281" s="482"/>
      <c r="J281" s="482"/>
      <c r="K281" s="482"/>
      <c r="L281" s="482"/>
    </row>
    <row r="282" spans="1:12">
      <c r="A282" s="482"/>
      <c r="B282" s="482"/>
      <c r="C282" s="482"/>
      <c r="D282" s="482"/>
      <c r="E282" s="482"/>
      <c r="F282" s="482"/>
      <c r="G282" s="482"/>
      <c r="H282" s="482"/>
      <c r="I282" s="482"/>
      <c r="J282" s="482"/>
      <c r="K282" s="482"/>
      <c r="L282" s="482"/>
    </row>
    <row r="283" spans="1:12">
      <c r="A283" s="482"/>
      <c r="B283" s="482"/>
      <c r="C283" s="482"/>
      <c r="D283" s="482"/>
      <c r="E283" s="482"/>
      <c r="F283" s="482"/>
      <c r="G283" s="482"/>
      <c r="H283" s="482"/>
      <c r="I283" s="482"/>
      <c r="J283" s="482"/>
      <c r="K283" s="482"/>
      <c r="L283" s="482"/>
    </row>
    <row r="284" spans="1:12">
      <c r="A284" s="482"/>
      <c r="B284" s="482"/>
      <c r="C284" s="482"/>
      <c r="D284" s="482"/>
      <c r="E284" s="482"/>
      <c r="F284" s="482"/>
      <c r="G284" s="482"/>
      <c r="H284" s="482"/>
      <c r="I284" s="482"/>
      <c r="J284" s="482"/>
      <c r="K284" s="482"/>
      <c r="L284" s="482"/>
    </row>
    <row r="285" spans="1:12">
      <c r="A285" s="482"/>
      <c r="B285" s="482"/>
      <c r="C285" s="482"/>
      <c r="D285" s="482"/>
      <c r="E285" s="482"/>
      <c r="F285" s="482"/>
      <c r="G285" s="482"/>
      <c r="H285" s="482"/>
      <c r="I285" s="482"/>
      <c r="J285" s="482"/>
      <c r="K285" s="482"/>
      <c r="L285" s="482"/>
    </row>
    <row r="286" spans="1:12">
      <c r="A286" s="482"/>
      <c r="B286" s="482"/>
      <c r="C286" s="482"/>
      <c r="D286" s="482"/>
      <c r="E286" s="482"/>
      <c r="F286" s="482"/>
      <c r="G286" s="482"/>
      <c r="H286" s="482"/>
      <c r="I286" s="482"/>
      <c r="J286" s="482"/>
      <c r="K286" s="482"/>
      <c r="L286" s="482"/>
    </row>
    <row r="287" spans="1:12">
      <c r="A287" s="482"/>
      <c r="B287" s="482"/>
      <c r="C287" s="482"/>
      <c r="D287" s="482"/>
      <c r="E287" s="482"/>
      <c r="F287" s="482"/>
      <c r="G287" s="482"/>
      <c r="H287" s="482"/>
      <c r="I287" s="482"/>
      <c r="J287" s="482"/>
      <c r="K287" s="482"/>
      <c r="L287" s="482"/>
    </row>
    <row r="288" spans="1:12">
      <c r="A288" s="482"/>
      <c r="B288" s="482"/>
      <c r="C288" s="482"/>
      <c r="D288" s="482"/>
      <c r="E288" s="482"/>
      <c r="F288" s="482"/>
      <c r="G288" s="482"/>
      <c r="H288" s="482"/>
      <c r="I288" s="482"/>
      <c r="J288" s="482"/>
      <c r="K288" s="482"/>
      <c r="L288" s="482"/>
    </row>
    <row r="289" spans="1:12">
      <c r="A289" s="482"/>
      <c r="B289" s="482"/>
      <c r="C289" s="482"/>
      <c r="D289" s="482"/>
      <c r="E289" s="482"/>
      <c r="F289" s="482"/>
      <c r="G289" s="482"/>
      <c r="H289" s="482"/>
      <c r="I289" s="482"/>
      <c r="J289" s="482"/>
      <c r="K289" s="482"/>
      <c r="L289" s="482"/>
    </row>
    <row r="290" spans="1:12">
      <c r="A290" s="482"/>
      <c r="B290" s="482"/>
      <c r="C290" s="482"/>
      <c r="D290" s="482"/>
      <c r="E290" s="482"/>
      <c r="F290" s="482"/>
      <c r="G290" s="482"/>
      <c r="H290" s="482"/>
      <c r="I290" s="482"/>
      <c r="J290" s="482"/>
      <c r="K290" s="482"/>
      <c r="L290" s="482"/>
    </row>
    <row r="291" spans="1:12">
      <c r="A291" s="482"/>
      <c r="B291" s="482"/>
      <c r="C291" s="482"/>
      <c r="D291" s="482"/>
      <c r="E291" s="482"/>
      <c r="F291" s="482"/>
      <c r="G291" s="482"/>
      <c r="H291" s="482"/>
      <c r="I291" s="482"/>
      <c r="J291" s="482"/>
      <c r="K291" s="482"/>
      <c r="L291" s="482"/>
    </row>
    <row r="292" spans="1:12">
      <c r="A292" s="482"/>
      <c r="B292" s="482"/>
      <c r="C292" s="482"/>
      <c r="D292" s="482"/>
      <c r="E292" s="482"/>
      <c r="F292" s="482"/>
      <c r="G292" s="482"/>
      <c r="H292" s="482"/>
      <c r="I292" s="482"/>
      <c r="J292" s="482"/>
      <c r="K292" s="482"/>
      <c r="L292" s="482"/>
    </row>
    <row r="293" spans="1:12">
      <c r="A293" s="482"/>
      <c r="B293" s="482"/>
      <c r="C293" s="482"/>
      <c r="D293" s="482"/>
      <c r="E293" s="482"/>
      <c r="F293" s="482"/>
      <c r="G293" s="482"/>
      <c r="H293" s="482"/>
      <c r="I293" s="482"/>
      <c r="J293" s="482"/>
      <c r="K293" s="482"/>
      <c r="L293" s="482"/>
    </row>
    <row r="294" spans="1:12">
      <c r="A294" s="482"/>
      <c r="B294" s="482"/>
      <c r="C294" s="482"/>
      <c r="D294" s="482"/>
      <c r="E294" s="482"/>
      <c r="F294" s="482"/>
      <c r="G294" s="482"/>
      <c r="H294" s="482"/>
      <c r="I294" s="482"/>
      <c r="J294" s="482"/>
      <c r="K294" s="482"/>
      <c r="L294" s="482"/>
    </row>
    <row r="295" spans="1:12">
      <c r="A295" s="482"/>
      <c r="B295" s="482"/>
      <c r="C295" s="482"/>
      <c r="D295" s="482"/>
      <c r="E295" s="482"/>
      <c r="F295" s="482"/>
      <c r="G295" s="482"/>
      <c r="H295" s="482"/>
      <c r="I295" s="482"/>
      <c r="J295" s="482"/>
      <c r="K295" s="482"/>
      <c r="L295" s="482"/>
    </row>
    <row r="296" spans="1:12">
      <c r="A296" s="482"/>
      <c r="B296" s="482"/>
      <c r="C296" s="482"/>
      <c r="D296" s="482"/>
      <c r="E296" s="482"/>
      <c r="F296" s="482"/>
      <c r="G296" s="482"/>
      <c r="H296" s="482"/>
      <c r="I296" s="482"/>
      <c r="J296" s="482"/>
      <c r="K296" s="482"/>
      <c r="L296" s="482"/>
    </row>
    <row r="297" spans="1:12">
      <c r="A297" s="482"/>
      <c r="B297" s="482"/>
      <c r="C297" s="482"/>
      <c r="D297" s="482"/>
      <c r="E297" s="482"/>
      <c r="F297" s="482"/>
      <c r="G297" s="482"/>
      <c r="H297" s="482"/>
      <c r="I297" s="482"/>
      <c r="J297" s="482"/>
      <c r="K297" s="482"/>
      <c r="L297" s="482"/>
    </row>
    <row r="298" spans="1:12">
      <c r="A298" s="482"/>
      <c r="B298" s="482"/>
      <c r="C298" s="482"/>
      <c r="D298" s="482"/>
      <c r="E298" s="482"/>
      <c r="F298" s="482"/>
      <c r="G298" s="482"/>
      <c r="H298" s="482"/>
      <c r="I298" s="482"/>
      <c r="J298" s="482"/>
      <c r="K298" s="482"/>
      <c r="L298" s="482"/>
    </row>
    <row r="299" spans="1:12">
      <c r="A299" s="482"/>
      <c r="B299" s="482"/>
      <c r="C299" s="482"/>
      <c r="D299" s="482"/>
      <c r="E299" s="482"/>
      <c r="F299" s="482"/>
      <c r="G299" s="482"/>
      <c r="H299" s="482"/>
      <c r="I299" s="482"/>
      <c r="J299" s="482"/>
      <c r="K299" s="482"/>
      <c r="L299" s="482"/>
    </row>
    <row r="300" spans="1:12">
      <c r="A300" s="482"/>
      <c r="B300" s="482"/>
      <c r="C300" s="482"/>
      <c r="D300" s="482"/>
      <c r="E300" s="482"/>
      <c r="F300" s="482"/>
      <c r="G300" s="482"/>
      <c r="H300" s="482"/>
      <c r="I300" s="482"/>
      <c r="J300" s="482"/>
      <c r="K300" s="482"/>
      <c r="L300" s="482"/>
    </row>
    <row r="301" spans="1:12">
      <c r="A301" s="482"/>
      <c r="B301" s="482"/>
      <c r="C301" s="482"/>
      <c r="D301" s="482"/>
      <c r="E301" s="482"/>
      <c r="F301" s="482"/>
      <c r="G301" s="482"/>
      <c r="H301" s="482"/>
      <c r="I301" s="482"/>
      <c r="J301" s="482"/>
      <c r="K301" s="482"/>
      <c r="L301" s="482"/>
    </row>
    <row r="302" spans="1:12">
      <c r="A302" s="482"/>
      <c r="B302" s="482"/>
      <c r="C302" s="482"/>
      <c r="D302" s="482"/>
      <c r="E302" s="482"/>
      <c r="F302" s="482"/>
      <c r="G302" s="482"/>
      <c r="H302" s="482"/>
      <c r="I302" s="482"/>
      <c r="J302" s="482"/>
      <c r="K302" s="482"/>
      <c r="L302" s="482"/>
    </row>
    <row r="303" spans="1:12">
      <c r="A303" s="482"/>
      <c r="B303" s="482"/>
      <c r="C303" s="482"/>
      <c r="D303" s="482"/>
      <c r="E303" s="482"/>
      <c r="F303" s="482"/>
      <c r="G303" s="482"/>
      <c r="H303" s="482"/>
      <c r="I303" s="482"/>
      <c r="J303" s="482"/>
      <c r="K303" s="482"/>
      <c r="L303" s="482"/>
    </row>
    <row r="304" spans="1:12">
      <c r="A304" s="482"/>
      <c r="B304" s="482"/>
      <c r="C304" s="482"/>
      <c r="D304" s="482"/>
      <c r="E304" s="482"/>
      <c r="F304" s="482"/>
      <c r="G304" s="482"/>
      <c r="H304" s="482"/>
      <c r="I304" s="482"/>
      <c r="J304" s="482"/>
      <c r="K304" s="482"/>
      <c r="L304" s="482"/>
    </row>
    <row r="305" spans="1:12">
      <c r="A305" s="482"/>
      <c r="B305" s="482"/>
      <c r="C305" s="482"/>
      <c r="D305" s="482"/>
      <c r="E305" s="482"/>
      <c r="F305" s="482"/>
      <c r="G305" s="482"/>
      <c r="H305" s="482"/>
      <c r="I305" s="482"/>
      <c r="J305" s="482"/>
      <c r="K305" s="482"/>
      <c r="L305" s="482"/>
    </row>
    <row r="306" spans="1:12">
      <c r="A306" s="482"/>
      <c r="B306" s="482"/>
      <c r="C306" s="482"/>
      <c r="D306" s="482"/>
      <c r="E306" s="482"/>
      <c r="F306" s="482"/>
      <c r="G306" s="482"/>
      <c r="H306" s="482"/>
      <c r="I306" s="482"/>
      <c r="J306" s="482"/>
      <c r="K306" s="482"/>
      <c r="L306" s="482"/>
    </row>
    <row r="307" spans="1:12">
      <c r="A307" s="482"/>
      <c r="B307" s="482"/>
      <c r="C307" s="482"/>
      <c r="D307" s="482"/>
      <c r="E307" s="482"/>
      <c r="F307" s="482"/>
      <c r="G307" s="482"/>
      <c r="H307" s="482"/>
      <c r="I307" s="482"/>
      <c r="J307" s="482"/>
      <c r="K307" s="482"/>
      <c r="L307" s="482"/>
    </row>
    <row r="308" spans="1:12">
      <c r="A308" s="482"/>
      <c r="B308" s="482"/>
      <c r="C308" s="482"/>
      <c r="D308" s="482"/>
      <c r="E308" s="482"/>
      <c r="F308" s="482"/>
      <c r="G308" s="482"/>
      <c r="H308" s="482"/>
      <c r="I308" s="482"/>
      <c r="J308" s="482"/>
      <c r="K308" s="482"/>
      <c r="L308" s="482"/>
    </row>
    <row r="309" spans="1:12">
      <c r="A309" s="482"/>
      <c r="B309" s="482"/>
      <c r="C309" s="482"/>
      <c r="D309" s="482"/>
      <c r="E309" s="482"/>
      <c r="F309" s="482"/>
      <c r="G309" s="482"/>
      <c r="H309" s="482"/>
      <c r="I309" s="482"/>
      <c r="J309" s="482"/>
      <c r="K309" s="482"/>
      <c r="L309" s="482"/>
    </row>
    <row r="310" spans="1:12">
      <c r="A310" s="482"/>
      <c r="B310" s="482"/>
      <c r="C310" s="482"/>
      <c r="D310" s="482"/>
      <c r="E310" s="482"/>
      <c r="F310" s="482"/>
      <c r="G310" s="482"/>
      <c r="H310" s="482"/>
      <c r="I310" s="482"/>
      <c r="J310" s="482"/>
      <c r="K310" s="482"/>
      <c r="L310" s="482"/>
    </row>
    <row r="311" spans="1:12">
      <c r="A311" s="482"/>
      <c r="B311" s="482"/>
      <c r="C311" s="482"/>
      <c r="D311" s="482"/>
      <c r="E311" s="482"/>
      <c r="F311" s="482"/>
      <c r="G311" s="482"/>
      <c r="H311" s="482"/>
      <c r="I311" s="482"/>
      <c r="J311" s="482"/>
      <c r="K311" s="482"/>
      <c r="L311" s="482"/>
    </row>
    <row r="312" spans="1:12">
      <c r="A312" s="482"/>
      <c r="B312" s="482"/>
      <c r="C312" s="482"/>
      <c r="D312" s="482"/>
      <c r="E312" s="482"/>
      <c r="F312" s="482"/>
      <c r="G312" s="482"/>
      <c r="H312" s="482"/>
      <c r="I312" s="482"/>
      <c r="J312" s="482"/>
      <c r="K312" s="482"/>
      <c r="L312" s="482"/>
    </row>
    <row r="313" spans="1:12">
      <c r="A313" s="482"/>
      <c r="B313" s="482"/>
      <c r="C313" s="482"/>
      <c r="D313" s="482"/>
      <c r="E313" s="482"/>
      <c r="F313" s="482"/>
      <c r="G313" s="482"/>
      <c r="H313" s="482"/>
      <c r="I313" s="482"/>
      <c r="J313" s="482"/>
      <c r="K313" s="482"/>
      <c r="L313" s="482"/>
    </row>
    <row r="314" spans="1:12">
      <c r="A314" s="482"/>
      <c r="B314" s="482"/>
      <c r="C314" s="482"/>
      <c r="D314" s="482"/>
      <c r="E314" s="482"/>
      <c r="F314" s="482"/>
      <c r="G314" s="482"/>
      <c r="H314" s="482"/>
      <c r="I314" s="482"/>
      <c r="J314" s="482"/>
      <c r="K314" s="482"/>
      <c r="L314" s="482"/>
    </row>
    <row r="315" spans="1:12">
      <c r="A315" s="482"/>
      <c r="B315" s="482"/>
      <c r="C315" s="482"/>
      <c r="D315" s="482"/>
      <c r="E315" s="482"/>
      <c r="F315" s="482"/>
      <c r="G315" s="482"/>
      <c r="H315" s="482"/>
      <c r="I315" s="482"/>
      <c r="J315" s="482"/>
      <c r="K315" s="482"/>
      <c r="L315" s="482"/>
    </row>
    <row r="316" spans="1:12">
      <c r="A316" s="482"/>
      <c r="B316" s="482"/>
      <c r="C316" s="482"/>
      <c r="D316" s="482"/>
      <c r="E316" s="482"/>
      <c r="F316" s="482"/>
      <c r="G316" s="482"/>
      <c r="H316" s="482"/>
      <c r="I316" s="482"/>
      <c r="J316" s="482"/>
      <c r="K316" s="482"/>
      <c r="L316" s="482"/>
    </row>
    <row r="317" spans="1:12">
      <c r="A317" s="482"/>
      <c r="B317" s="482"/>
      <c r="C317" s="482"/>
      <c r="D317" s="482"/>
      <c r="E317" s="482"/>
      <c r="F317" s="482"/>
      <c r="G317" s="482"/>
      <c r="H317" s="482"/>
      <c r="I317" s="482"/>
      <c r="J317" s="482"/>
      <c r="K317" s="482"/>
      <c r="L317" s="482"/>
    </row>
    <row r="318" spans="1:12">
      <c r="A318" s="482"/>
      <c r="B318" s="482"/>
      <c r="C318" s="482"/>
      <c r="D318" s="482"/>
      <c r="E318" s="482"/>
      <c r="F318" s="482"/>
      <c r="G318" s="482"/>
      <c r="H318" s="482"/>
      <c r="I318" s="482"/>
      <c r="J318" s="482"/>
      <c r="K318" s="482"/>
      <c r="L318" s="482"/>
    </row>
    <row r="319" spans="1:12">
      <c r="A319" s="482"/>
      <c r="B319" s="482"/>
      <c r="C319" s="482"/>
      <c r="D319" s="482"/>
      <c r="E319" s="482"/>
      <c r="F319" s="482"/>
      <c r="G319" s="482"/>
      <c r="H319" s="482"/>
      <c r="I319" s="482"/>
      <c r="J319" s="482"/>
      <c r="K319" s="482"/>
      <c r="L319" s="482"/>
    </row>
    <row r="320" spans="1:12">
      <c r="A320" s="482"/>
      <c r="B320" s="482"/>
      <c r="C320" s="482"/>
      <c r="D320" s="482"/>
      <c r="E320" s="482"/>
      <c r="F320" s="482"/>
      <c r="G320" s="482"/>
      <c r="H320" s="482"/>
      <c r="I320" s="482"/>
      <c r="J320" s="482"/>
      <c r="K320" s="482"/>
      <c r="L320" s="482"/>
    </row>
    <row r="321" spans="1:12">
      <c r="A321" s="482"/>
      <c r="B321" s="482"/>
      <c r="C321" s="482"/>
      <c r="D321" s="482"/>
      <c r="E321" s="482"/>
      <c r="F321" s="482"/>
      <c r="G321" s="482"/>
      <c r="H321" s="482"/>
      <c r="I321" s="482"/>
      <c r="J321" s="482"/>
      <c r="K321" s="482"/>
      <c r="L321" s="482"/>
    </row>
    <row r="322" spans="1:12">
      <c r="A322" s="482"/>
      <c r="B322" s="482"/>
      <c r="C322" s="482"/>
      <c r="D322" s="482"/>
      <c r="E322" s="482"/>
      <c r="F322" s="482"/>
      <c r="G322" s="482"/>
      <c r="H322" s="482"/>
      <c r="I322" s="482"/>
      <c r="J322" s="482"/>
      <c r="K322" s="482"/>
      <c r="L322" s="482"/>
    </row>
    <row r="323" spans="1:12">
      <c r="A323" s="482"/>
      <c r="B323" s="482"/>
      <c r="C323" s="482"/>
      <c r="D323" s="482"/>
      <c r="E323" s="482"/>
      <c r="F323" s="482"/>
      <c r="G323" s="482"/>
      <c r="H323" s="482"/>
      <c r="I323" s="482"/>
      <c r="J323" s="482"/>
      <c r="K323" s="482"/>
      <c r="L323" s="482"/>
    </row>
    <row r="324" spans="1:12">
      <c r="A324" s="482"/>
      <c r="B324" s="482"/>
      <c r="C324" s="482"/>
      <c r="D324" s="482"/>
      <c r="E324" s="482"/>
      <c r="F324" s="482"/>
      <c r="G324" s="482"/>
      <c r="H324" s="482"/>
      <c r="I324" s="482"/>
      <c r="J324" s="482"/>
      <c r="K324" s="482"/>
      <c r="L324" s="482"/>
    </row>
    <row r="325" spans="1:12">
      <c r="A325" s="482"/>
      <c r="B325" s="482"/>
      <c r="C325" s="482"/>
      <c r="D325" s="482"/>
      <c r="E325" s="482"/>
      <c r="F325" s="482"/>
      <c r="G325" s="482"/>
      <c r="H325" s="482"/>
      <c r="I325" s="482"/>
      <c r="J325" s="482"/>
      <c r="K325" s="482"/>
      <c r="L325" s="482"/>
    </row>
    <row r="326" spans="1:12">
      <c r="A326" s="482"/>
      <c r="B326" s="482"/>
      <c r="C326" s="482"/>
      <c r="D326" s="482"/>
      <c r="E326" s="482"/>
      <c r="F326" s="482"/>
      <c r="G326" s="482"/>
      <c r="H326" s="482"/>
      <c r="I326" s="482"/>
      <c r="J326" s="482"/>
      <c r="K326" s="482"/>
      <c r="L326" s="482"/>
    </row>
    <row r="327" spans="1:12">
      <c r="A327" s="482"/>
      <c r="B327" s="482"/>
      <c r="C327" s="482"/>
      <c r="D327" s="482"/>
      <c r="E327" s="482"/>
      <c r="F327" s="482"/>
      <c r="G327" s="482"/>
      <c r="H327" s="482"/>
      <c r="I327" s="482"/>
      <c r="J327" s="482"/>
      <c r="K327" s="482"/>
      <c r="L327" s="482"/>
    </row>
    <row r="328" spans="1:12">
      <c r="A328" s="482"/>
      <c r="B328" s="482"/>
      <c r="C328" s="482"/>
      <c r="D328" s="482"/>
      <c r="E328" s="482"/>
      <c r="F328" s="482"/>
      <c r="G328" s="482"/>
      <c r="H328" s="482"/>
      <c r="I328" s="482"/>
      <c r="J328" s="482"/>
      <c r="K328" s="482"/>
      <c r="L328" s="482"/>
    </row>
    <row r="329" spans="1:12">
      <c r="A329" s="482"/>
      <c r="B329" s="482"/>
      <c r="C329" s="482"/>
      <c r="D329" s="482"/>
      <c r="E329" s="482"/>
      <c r="F329" s="482"/>
      <c r="G329" s="482"/>
      <c r="H329" s="482"/>
      <c r="I329" s="482"/>
      <c r="J329" s="482"/>
      <c r="K329" s="482"/>
      <c r="L329" s="482"/>
    </row>
    <row r="330" spans="1:12">
      <c r="A330" s="482"/>
      <c r="B330" s="482"/>
      <c r="C330" s="482"/>
      <c r="D330" s="482"/>
      <c r="E330" s="482"/>
      <c r="F330" s="482"/>
      <c r="G330" s="482"/>
      <c r="H330" s="482"/>
      <c r="I330" s="482"/>
      <c r="J330" s="482"/>
      <c r="K330" s="482"/>
      <c r="L330" s="482"/>
    </row>
    <row r="331" spans="1:12">
      <c r="A331" s="482"/>
      <c r="B331" s="482"/>
      <c r="C331" s="482"/>
      <c r="D331" s="482"/>
      <c r="E331" s="482"/>
      <c r="F331" s="482"/>
      <c r="G331" s="482"/>
      <c r="H331" s="482"/>
      <c r="I331" s="482"/>
      <c r="J331" s="482"/>
      <c r="K331" s="482"/>
      <c r="L331" s="482"/>
    </row>
    <row r="332" spans="1:12">
      <c r="A332" s="482"/>
      <c r="B332" s="482"/>
      <c r="C332" s="482"/>
      <c r="D332" s="482"/>
      <c r="E332" s="482"/>
      <c r="F332" s="482"/>
      <c r="G332" s="482"/>
      <c r="H332" s="482"/>
      <c r="I332" s="482"/>
      <c r="J332" s="482"/>
      <c r="K332" s="482"/>
      <c r="L332" s="482"/>
    </row>
    <row r="333" spans="1:12">
      <c r="A333" s="482"/>
      <c r="B333" s="482"/>
      <c r="C333" s="482"/>
      <c r="D333" s="482"/>
      <c r="E333" s="482"/>
      <c r="F333" s="482"/>
      <c r="G333" s="482"/>
      <c r="H333" s="482"/>
      <c r="I333" s="482"/>
      <c r="J333" s="482"/>
      <c r="K333" s="482"/>
      <c r="L333" s="482"/>
    </row>
    <row r="334" spans="1:12">
      <c r="A334" s="482"/>
      <c r="B334" s="482"/>
      <c r="C334" s="482"/>
      <c r="D334" s="482"/>
      <c r="E334" s="482"/>
      <c r="F334" s="482"/>
      <c r="G334" s="482"/>
      <c r="H334" s="482"/>
      <c r="I334" s="482"/>
      <c r="J334" s="482"/>
      <c r="K334" s="482"/>
      <c r="L334" s="482"/>
    </row>
    <row r="335" spans="1:12">
      <c r="A335" s="482"/>
      <c r="B335" s="482"/>
      <c r="C335" s="482"/>
      <c r="D335" s="482"/>
      <c r="E335" s="482"/>
      <c r="F335" s="482"/>
      <c r="G335" s="482"/>
      <c r="H335" s="482"/>
      <c r="I335" s="482"/>
      <c r="J335" s="482"/>
      <c r="K335" s="482"/>
      <c r="L335" s="482"/>
    </row>
    <row r="336" spans="1:12">
      <c r="A336" s="482"/>
      <c r="B336" s="482"/>
      <c r="C336" s="482"/>
      <c r="D336" s="482"/>
      <c r="E336" s="482"/>
      <c r="F336" s="482"/>
      <c r="G336" s="482"/>
      <c r="H336" s="482"/>
      <c r="I336" s="482"/>
      <c r="J336" s="482"/>
      <c r="K336" s="482"/>
      <c r="L336" s="482"/>
    </row>
    <row r="337" spans="1:12">
      <c r="A337" s="482"/>
      <c r="B337" s="482"/>
      <c r="C337" s="482"/>
      <c r="D337" s="482"/>
      <c r="E337" s="482"/>
      <c r="F337" s="482"/>
      <c r="G337" s="482"/>
      <c r="H337" s="482"/>
      <c r="I337" s="482"/>
      <c r="J337" s="482"/>
      <c r="K337" s="482"/>
      <c r="L337" s="482"/>
    </row>
    <row r="338" spans="1:12">
      <c r="A338" s="482"/>
      <c r="B338" s="482"/>
      <c r="C338" s="482"/>
      <c r="D338" s="482"/>
      <c r="E338" s="482"/>
      <c r="F338" s="482"/>
      <c r="G338" s="482"/>
      <c r="H338" s="482"/>
      <c r="I338" s="482"/>
      <c r="J338" s="482"/>
      <c r="K338" s="482"/>
      <c r="L338" s="482"/>
    </row>
    <row r="339" spans="1:12">
      <c r="A339" s="482"/>
      <c r="B339" s="482"/>
      <c r="C339" s="482"/>
      <c r="D339" s="482"/>
      <c r="E339" s="482"/>
      <c r="F339" s="482"/>
      <c r="G339" s="482"/>
      <c r="H339" s="482"/>
      <c r="I339" s="482"/>
      <c r="J339" s="482"/>
      <c r="K339" s="482"/>
      <c r="L339" s="482"/>
    </row>
    <row r="340" spans="1:12">
      <c r="A340" s="482"/>
      <c r="B340" s="482"/>
      <c r="C340" s="482"/>
      <c r="D340" s="482"/>
      <c r="E340" s="482"/>
      <c r="F340" s="482"/>
      <c r="G340" s="482"/>
      <c r="H340" s="482"/>
      <c r="I340" s="482"/>
      <c r="J340" s="482"/>
      <c r="K340" s="482"/>
      <c r="L340" s="482"/>
    </row>
    <row r="341" spans="1:12">
      <c r="A341" s="482"/>
      <c r="B341" s="482"/>
      <c r="C341" s="482"/>
      <c r="D341" s="482"/>
      <c r="E341" s="482"/>
      <c r="F341" s="482"/>
      <c r="G341" s="482"/>
      <c r="H341" s="482"/>
      <c r="I341" s="482"/>
      <c r="J341" s="482"/>
      <c r="K341" s="482"/>
      <c r="L341" s="482"/>
    </row>
    <row r="342" spans="1:12">
      <c r="A342" s="482"/>
      <c r="B342" s="482"/>
      <c r="C342" s="482"/>
      <c r="D342" s="482"/>
      <c r="E342" s="482"/>
      <c r="F342" s="482"/>
      <c r="G342" s="482"/>
      <c r="H342" s="482"/>
      <c r="I342" s="482"/>
      <c r="J342" s="482"/>
      <c r="K342" s="482"/>
      <c r="L342" s="482"/>
    </row>
    <row r="343" spans="1:12">
      <c r="A343" s="482"/>
      <c r="B343" s="482"/>
      <c r="C343" s="482"/>
      <c r="D343" s="482"/>
      <c r="E343" s="482"/>
      <c r="F343" s="482"/>
      <c r="G343" s="482"/>
      <c r="H343" s="482"/>
      <c r="I343" s="482"/>
      <c r="J343" s="482"/>
      <c r="K343" s="482"/>
      <c r="L343" s="482"/>
    </row>
    <row r="344" spans="1:12">
      <c r="A344" s="482"/>
      <c r="B344" s="482"/>
      <c r="C344" s="482"/>
      <c r="D344" s="482"/>
      <c r="E344" s="482"/>
      <c r="F344" s="482"/>
      <c r="G344" s="482"/>
      <c r="H344" s="482"/>
      <c r="I344" s="482"/>
      <c r="J344" s="482"/>
      <c r="K344" s="482"/>
      <c r="L344" s="482"/>
    </row>
    <row r="345" spans="1:12">
      <c r="A345" s="482"/>
      <c r="B345" s="482"/>
      <c r="C345" s="482"/>
      <c r="D345" s="482"/>
      <c r="E345" s="482"/>
      <c r="F345" s="482"/>
      <c r="G345" s="482"/>
      <c r="H345" s="482"/>
      <c r="I345" s="482"/>
      <c r="J345" s="482"/>
      <c r="K345" s="482"/>
      <c r="L345" s="482"/>
    </row>
    <row r="346" spans="1:12">
      <c r="A346" s="482"/>
      <c r="B346" s="482"/>
      <c r="C346" s="482"/>
      <c r="D346" s="482"/>
      <c r="E346" s="482"/>
      <c r="F346" s="482"/>
      <c r="G346" s="482"/>
      <c r="H346" s="482"/>
      <c r="I346" s="482"/>
      <c r="J346" s="482"/>
      <c r="K346" s="482"/>
      <c r="L346" s="482"/>
    </row>
    <row r="347" spans="1:12">
      <c r="A347" s="482"/>
      <c r="B347" s="482"/>
      <c r="C347" s="482"/>
      <c r="D347" s="482"/>
      <c r="E347" s="482"/>
      <c r="F347" s="482"/>
      <c r="G347" s="482"/>
      <c r="H347" s="482"/>
      <c r="I347" s="482"/>
      <c r="J347" s="482"/>
      <c r="K347" s="482"/>
      <c r="L347" s="482"/>
    </row>
    <row r="348" spans="1:12">
      <c r="A348" s="482"/>
      <c r="B348" s="482"/>
      <c r="C348" s="482"/>
      <c r="D348" s="482"/>
      <c r="E348" s="482"/>
      <c r="F348" s="482"/>
      <c r="G348" s="482"/>
      <c r="H348" s="482"/>
      <c r="I348" s="482"/>
      <c r="J348" s="482"/>
      <c r="K348" s="482"/>
      <c r="L348" s="482"/>
    </row>
    <row r="349" spans="1:12">
      <c r="A349" s="482"/>
      <c r="B349" s="482"/>
      <c r="C349" s="482"/>
      <c r="D349" s="482"/>
      <c r="E349" s="482"/>
      <c r="F349" s="482"/>
      <c r="G349" s="482"/>
      <c r="H349" s="482"/>
      <c r="I349" s="482"/>
      <c r="J349" s="482"/>
      <c r="K349" s="482"/>
      <c r="L349" s="482"/>
    </row>
    <row r="350" spans="1:12">
      <c r="A350" s="482"/>
      <c r="B350" s="482"/>
      <c r="C350" s="482"/>
      <c r="D350" s="482"/>
      <c r="E350" s="482"/>
      <c r="F350" s="482"/>
      <c r="G350" s="482"/>
      <c r="H350" s="482"/>
      <c r="I350" s="482"/>
      <c r="J350" s="482"/>
      <c r="K350" s="482"/>
      <c r="L350" s="482"/>
    </row>
    <row r="351" spans="1:12">
      <c r="A351" s="482"/>
      <c r="B351" s="482"/>
      <c r="C351" s="482"/>
      <c r="D351" s="482"/>
      <c r="E351" s="482"/>
      <c r="F351" s="482"/>
      <c r="G351" s="482"/>
      <c r="H351" s="482"/>
      <c r="I351" s="482"/>
      <c r="J351" s="482"/>
      <c r="K351" s="482"/>
      <c r="L351" s="482"/>
    </row>
    <row r="352" spans="1:12">
      <c r="A352" s="482"/>
      <c r="B352" s="482"/>
      <c r="C352" s="482"/>
      <c r="D352" s="482"/>
      <c r="E352" s="482"/>
      <c r="F352" s="482"/>
      <c r="G352" s="482"/>
      <c r="H352" s="482"/>
      <c r="I352" s="482"/>
      <c r="J352" s="482"/>
      <c r="K352" s="482"/>
      <c r="L352" s="482"/>
    </row>
    <row r="353" spans="1:12">
      <c r="A353" s="482"/>
      <c r="B353" s="482"/>
      <c r="C353" s="482"/>
      <c r="D353" s="482"/>
      <c r="E353" s="482"/>
      <c r="F353" s="482"/>
      <c r="G353" s="482"/>
      <c r="H353" s="482"/>
      <c r="I353" s="482"/>
      <c r="J353" s="482"/>
      <c r="K353" s="482"/>
      <c r="L353" s="482"/>
    </row>
    <row r="354" spans="1:12">
      <c r="A354" s="482"/>
      <c r="B354" s="482"/>
      <c r="C354" s="482"/>
      <c r="D354" s="482"/>
      <c r="E354" s="482"/>
      <c r="F354" s="482"/>
      <c r="G354" s="482"/>
      <c r="H354" s="482"/>
      <c r="I354" s="482"/>
      <c r="J354" s="482"/>
      <c r="K354" s="482"/>
      <c r="L354" s="482"/>
    </row>
  </sheetData>
  <sheetProtection sheet="1" objects="1" scenarios="1"/>
  <mergeCells count="55">
    <mergeCell ref="C148:D148"/>
    <mergeCell ref="J148:K148"/>
    <mergeCell ref="H134:I134"/>
    <mergeCell ref="C136:D136"/>
    <mergeCell ref="C137:D137"/>
    <mergeCell ref="B144:K144"/>
    <mergeCell ref="C147:D147"/>
    <mergeCell ref="J147:K147"/>
    <mergeCell ref="B90:K90"/>
    <mergeCell ref="B128:K128"/>
    <mergeCell ref="C97:D97"/>
    <mergeCell ref="B105:K105"/>
    <mergeCell ref="B106:K106"/>
    <mergeCell ref="B108:K108"/>
    <mergeCell ref="C100:D100"/>
    <mergeCell ref="C103:D103"/>
    <mergeCell ref="B110:K110"/>
    <mergeCell ref="C114:D114"/>
    <mergeCell ref="C117:D117"/>
    <mergeCell ref="B125:K125"/>
    <mergeCell ref="B126:K126"/>
    <mergeCell ref="B88:K88"/>
    <mergeCell ref="B58:K58"/>
    <mergeCell ref="C74:D74"/>
    <mergeCell ref="C77:D77"/>
    <mergeCell ref="C80:D80"/>
    <mergeCell ref="B30:K30"/>
    <mergeCell ref="B31:K31"/>
    <mergeCell ref="B33:K33"/>
    <mergeCell ref="C41:D41"/>
    <mergeCell ref="B48:C48"/>
    <mergeCell ref="B35:K35"/>
    <mergeCell ref="G50:H50"/>
    <mergeCell ref="B130:K130"/>
    <mergeCell ref="C133:D133"/>
    <mergeCell ref="H133:I133"/>
    <mergeCell ref="C134:D134"/>
    <mergeCell ref="C120:D120"/>
    <mergeCell ref="C123:D123"/>
    <mergeCell ref="B57:K57"/>
    <mergeCell ref="I51:K51"/>
    <mergeCell ref="B52:K52"/>
    <mergeCell ref="B53:K53"/>
    <mergeCell ref="B55:K55"/>
    <mergeCell ref="C94:D94"/>
    <mergeCell ref="C83:D83"/>
    <mergeCell ref="B85:K85"/>
    <mergeCell ref="B86:K86"/>
    <mergeCell ref="C25:D25"/>
    <mergeCell ref="F23:G23"/>
    <mergeCell ref="B6:K6"/>
    <mergeCell ref="B7:K7"/>
    <mergeCell ref="B8:K8"/>
    <mergeCell ref="B10:K10"/>
    <mergeCell ref="B12:K12"/>
  </mergeCells>
  <pageMargins left="0.7" right="0.7" top="0.75" bottom="0.75" header="0.3" footer="0.3"/>
  <pageSetup scale="69" orientation="portrait" blackAndWhite="1" r:id="rId1"/>
  <rowBreaks count="2" manualBreakCount="2">
    <brk id="32" min="1" max="10" man="1"/>
    <brk id="89" min="1" max="10" man="1"/>
  </rowBreaks>
</worksheet>
</file>

<file path=xl/worksheets/sheet43.xml><?xml version="1.0" encoding="utf-8"?>
<worksheet xmlns="http://schemas.openxmlformats.org/spreadsheetml/2006/main" xmlns:r="http://schemas.openxmlformats.org/officeDocument/2006/relationships">
  <dimension ref="A1:A40"/>
  <sheetViews>
    <sheetView workbookViewId="0">
      <selection activeCell="C20" sqref="C20"/>
    </sheetView>
  </sheetViews>
  <sheetFormatPr defaultRowHeight="15"/>
  <cols>
    <col min="1" max="1" width="71.21875" customWidth="1"/>
  </cols>
  <sheetData>
    <row r="1" spans="1:1" ht="16.5">
      <c r="A1" s="511" t="s">
        <v>675</v>
      </c>
    </row>
    <row r="3" spans="1:1" ht="31.5">
      <c r="A3" s="2" t="s">
        <v>676</v>
      </c>
    </row>
    <row r="4" spans="1:1" ht="15.75">
      <c r="A4" s="519" t="s">
        <v>677</v>
      </c>
    </row>
    <row r="7" spans="1:1" ht="31.5">
      <c r="A7" s="2" t="s">
        <v>678</v>
      </c>
    </row>
    <row r="8" spans="1:1" ht="15.75">
      <c r="A8" s="519" t="s">
        <v>679</v>
      </c>
    </row>
    <row r="11" spans="1:1" ht="15.75">
      <c r="A11" s="1" t="s">
        <v>680</v>
      </c>
    </row>
    <row r="12" spans="1:1" ht="15.75">
      <c r="A12" s="519" t="s">
        <v>681</v>
      </c>
    </row>
    <row r="15" spans="1:1" ht="15.75">
      <c r="A15" s="1" t="s">
        <v>682</v>
      </c>
    </row>
    <row r="16" spans="1:1" ht="15.75">
      <c r="A16" s="519" t="s">
        <v>683</v>
      </c>
    </row>
    <row r="19" spans="1:1" ht="15.75">
      <c r="A19" s="1" t="s">
        <v>684</v>
      </c>
    </row>
    <row r="20" spans="1:1" ht="15.75">
      <c r="A20" s="519" t="s">
        <v>685</v>
      </c>
    </row>
    <row r="23" spans="1:1" ht="15.75">
      <c r="A23" s="1" t="s">
        <v>686</v>
      </c>
    </row>
    <row r="24" spans="1:1" ht="15.75">
      <c r="A24" s="519" t="s">
        <v>687</v>
      </c>
    </row>
    <row r="27" spans="1:1" ht="15.75">
      <c r="A27" s="1" t="s">
        <v>688</v>
      </c>
    </row>
    <row r="28" spans="1:1" ht="15.75">
      <c r="A28" s="519" t="s">
        <v>689</v>
      </c>
    </row>
    <row r="31" spans="1:1" ht="15.75">
      <c r="A31" s="1" t="s">
        <v>690</v>
      </c>
    </row>
    <row r="32" spans="1:1" ht="15.75">
      <c r="A32" s="519" t="s">
        <v>691</v>
      </c>
    </row>
    <row r="35" spans="1:1" ht="15.75">
      <c r="A35" s="1" t="s">
        <v>692</v>
      </c>
    </row>
    <row r="36" spans="1:1" ht="15.75">
      <c r="A36" s="519" t="s">
        <v>693</v>
      </c>
    </row>
    <row r="39" spans="1:1" ht="15.75">
      <c r="A39" s="1" t="s">
        <v>694</v>
      </c>
    </row>
    <row r="40" spans="1:1" ht="15.75">
      <c r="A40" s="519" t="s">
        <v>695</v>
      </c>
    </row>
  </sheetData>
  <sheetProtection sheet="1"/>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worksheet>
</file>

<file path=xl/worksheets/sheet44.xml><?xml version="1.0" encoding="utf-8"?>
<worksheet xmlns="http://schemas.openxmlformats.org/spreadsheetml/2006/main" xmlns:r="http://schemas.openxmlformats.org/officeDocument/2006/relationships">
  <dimension ref="A1:A216"/>
  <sheetViews>
    <sheetView workbookViewId="0">
      <selection activeCell="G23" sqref="G23"/>
    </sheetView>
  </sheetViews>
  <sheetFormatPr defaultColWidth="8.88671875" defaultRowHeight="15.75"/>
  <cols>
    <col min="1" max="1" width="83.44140625" style="1" customWidth="1"/>
    <col min="2" max="16384" width="8.88671875" style="1"/>
  </cols>
  <sheetData>
    <row r="1" spans="1:1">
      <c r="A1" s="555" t="s">
        <v>982</v>
      </c>
    </row>
    <row r="2" spans="1:1">
      <c r="A2" s="68" t="s">
        <v>983</v>
      </c>
    </row>
    <row r="4" spans="1:1">
      <c r="A4" s="555" t="s">
        <v>979</v>
      </c>
    </row>
    <row r="5" spans="1:1">
      <c r="A5" s="68" t="s">
        <v>980</v>
      </c>
    </row>
    <row r="7" spans="1:1">
      <c r="A7" s="555" t="s">
        <v>977</v>
      </c>
    </row>
    <row r="8" spans="1:1">
      <c r="A8" s="766" t="s">
        <v>978</v>
      </c>
    </row>
    <row r="10" spans="1:1">
      <c r="A10" s="555" t="s">
        <v>974</v>
      </c>
    </row>
    <row r="11" spans="1:1">
      <c r="A11" s="68" t="s">
        <v>975</v>
      </c>
    </row>
    <row r="13" spans="1:1">
      <c r="A13" s="555" t="s">
        <v>972</v>
      </c>
    </row>
    <row r="14" spans="1:1">
      <c r="A14" s="778" t="s">
        <v>973</v>
      </c>
    </row>
    <row r="16" spans="1:1">
      <c r="A16" s="555" t="s">
        <v>969</v>
      </c>
    </row>
    <row r="17" spans="1:1">
      <c r="A17" s="1" t="s">
        <v>970</v>
      </c>
    </row>
    <row r="19" spans="1:1">
      <c r="A19" s="555" t="s">
        <v>895</v>
      </c>
    </row>
    <row r="20" spans="1:1">
      <c r="A20" s="766" t="s">
        <v>896</v>
      </c>
    </row>
    <row r="21" spans="1:1">
      <c r="A21" s="68" t="s">
        <v>897</v>
      </c>
    </row>
    <row r="22" spans="1:1">
      <c r="A22" s="68" t="s">
        <v>898</v>
      </c>
    </row>
    <row r="23" spans="1:1">
      <c r="A23" s="68" t="s">
        <v>899</v>
      </c>
    </row>
    <row r="24" spans="1:1">
      <c r="A24" s="68" t="s">
        <v>900</v>
      </c>
    </row>
    <row r="25" spans="1:1">
      <c r="A25" s="68" t="s">
        <v>901</v>
      </c>
    </row>
    <row r="26" spans="1:1">
      <c r="A26" s="68" t="s">
        <v>902</v>
      </c>
    </row>
    <row r="27" spans="1:1">
      <c r="A27" s="68" t="s">
        <v>903</v>
      </c>
    </row>
    <row r="28" spans="1:1">
      <c r="A28" s="68" t="s">
        <v>904</v>
      </c>
    </row>
    <row r="29" spans="1:1">
      <c r="A29" s="68" t="s">
        <v>905</v>
      </c>
    </row>
    <row r="30" spans="1:1">
      <c r="A30" s="68" t="s">
        <v>906</v>
      </c>
    </row>
    <row r="31" spans="1:1">
      <c r="A31" s="68" t="s">
        <v>907</v>
      </c>
    </row>
    <row r="32" spans="1:1">
      <c r="A32" s="68" t="s">
        <v>908</v>
      </c>
    </row>
    <row r="33" spans="1:1">
      <c r="A33" s="68" t="s">
        <v>909</v>
      </c>
    </row>
    <row r="34" spans="1:1">
      <c r="A34" s="68" t="s">
        <v>910</v>
      </c>
    </row>
    <row r="35" spans="1:1">
      <c r="A35" s="68" t="s">
        <v>911</v>
      </c>
    </row>
    <row r="36" spans="1:1" ht="47.25">
      <c r="A36" s="70" t="s">
        <v>912</v>
      </c>
    </row>
    <row r="37" spans="1:1">
      <c r="A37" s="69" t="s">
        <v>913</v>
      </c>
    </row>
    <row r="38" spans="1:1" ht="31.5">
      <c r="A38" s="70" t="s">
        <v>914</v>
      </c>
    </row>
    <row r="39" spans="1:1">
      <c r="A39" s="68" t="s">
        <v>915</v>
      </c>
    </row>
    <row r="40" spans="1:1">
      <c r="A40" s="68" t="s">
        <v>916</v>
      </c>
    </row>
    <row r="41" spans="1:1">
      <c r="A41" s="68" t="s">
        <v>917</v>
      </c>
    </row>
    <row r="42" spans="1:1">
      <c r="A42" s="68" t="s">
        <v>918</v>
      </c>
    </row>
    <row r="43" spans="1:1">
      <c r="A43" s="68" t="s">
        <v>919</v>
      </c>
    </row>
    <row r="44" spans="1:1">
      <c r="A44" s="68" t="s">
        <v>920</v>
      </c>
    </row>
    <row r="45" spans="1:1">
      <c r="A45" s="68" t="s">
        <v>921</v>
      </c>
    </row>
    <row r="46" spans="1:1">
      <c r="A46" s="68" t="s">
        <v>922</v>
      </c>
    </row>
    <row r="47" spans="1:1">
      <c r="A47" s="68" t="s">
        <v>923</v>
      </c>
    </row>
    <row r="48" spans="1:1">
      <c r="A48" s="68" t="s">
        <v>924</v>
      </c>
    </row>
    <row r="49" spans="1:1">
      <c r="A49" s="68" t="s">
        <v>925</v>
      </c>
    </row>
    <row r="50" spans="1:1">
      <c r="A50" s="68" t="s">
        <v>926</v>
      </c>
    </row>
    <row r="51" spans="1:1">
      <c r="A51" s="68" t="s">
        <v>927</v>
      </c>
    </row>
    <row r="52" spans="1:1">
      <c r="A52" s="68" t="s">
        <v>928</v>
      </c>
    </row>
    <row r="53" spans="1:1">
      <c r="A53" s="68" t="s">
        <v>929</v>
      </c>
    </row>
    <row r="54" spans="1:1">
      <c r="A54" s="68" t="s">
        <v>930</v>
      </c>
    </row>
    <row r="56" spans="1:1">
      <c r="A56" s="555" t="s">
        <v>804</v>
      </c>
    </row>
    <row r="57" spans="1:1">
      <c r="A57" s="556" t="s">
        <v>805</v>
      </c>
    </row>
    <row r="59" spans="1:1">
      <c r="A59" s="555" t="s">
        <v>802</v>
      </c>
    </row>
    <row r="60" spans="1:1">
      <c r="A60" s="1" t="s">
        <v>803</v>
      </c>
    </row>
    <row r="62" spans="1:1">
      <c r="A62" s="555" t="s">
        <v>760</v>
      </c>
    </row>
    <row r="63" spans="1:1">
      <c r="A63" s="556" t="s">
        <v>757</v>
      </c>
    </row>
    <row r="64" spans="1:1">
      <c r="A64" s="556" t="s">
        <v>758</v>
      </c>
    </row>
    <row r="65" spans="1:1" ht="31.5">
      <c r="A65" s="550" t="s">
        <v>759</v>
      </c>
    </row>
    <row r="66" spans="1:1">
      <c r="A66" s="556" t="s">
        <v>762</v>
      </c>
    </row>
    <row r="67" spans="1:1">
      <c r="A67" s="556" t="s">
        <v>763</v>
      </c>
    </row>
    <row r="68" spans="1:1">
      <c r="A68" s="556" t="s">
        <v>764</v>
      </c>
    </row>
    <row r="69" spans="1:1">
      <c r="A69" s="556" t="s">
        <v>765</v>
      </c>
    </row>
    <row r="70" spans="1:1">
      <c r="A70" s="556" t="s">
        <v>766</v>
      </c>
    </row>
    <row r="71" spans="1:1">
      <c r="A71" s="556" t="s">
        <v>767</v>
      </c>
    </row>
    <row r="72" spans="1:1">
      <c r="A72" s="556" t="s">
        <v>768</v>
      </c>
    </row>
    <row r="73" spans="1:1">
      <c r="A73" s="556" t="s">
        <v>769</v>
      </c>
    </row>
    <row r="74" spans="1:1">
      <c r="A74" s="556" t="s">
        <v>770</v>
      </c>
    </row>
    <row r="75" spans="1:1">
      <c r="A75" s="556" t="s">
        <v>771</v>
      </c>
    </row>
    <row r="76" spans="1:1">
      <c r="A76" s="556" t="s">
        <v>772</v>
      </c>
    </row>
    <row r="77" spans="1:1">
      <c r="A77" s="556" t="s">
        <v>773</v>
      </c>
    </row>
    <row r="78" spans="1:1">
      <c r="A78" s="556" t="s">
        <v>774</v>
      </c>
    </row>
    <row r="79" spans="1:1">
      <c r="A79" s="556" t="s">
        <v>775</v>
      </c>
    </row>
    <row r="80" spans="1:1">
      <c r="A80" s="556" t="s">
        <v>776</v>
      </c>
    </row>
    <row r="81" spans="1:1">
      <c r="A81" s="556" t="s">
        <v>777</v>
      </c>
    </row>
    <row r="82" spans="1:1">
      <c r="A82" s="556" t="s">
        <v>778</v>
      </c>
    </row>
    <row r="83" spans="1:1">
      <c r="A83" s="556" t="s">
        <v>779</v>
      </c>
    </row>
    <row r="84" spans="1:1">
      <c r="A84" s="556" t="s">
        <v>780</v>
      </c>
    </row>
    <row r="85" spans="1:1">
      <c r="A85" s="556" t="s">
        <v>781</v>
      </c>
    </row>
    <row r="86" spans="1:1">
      <c r="A86" s="556" t="s">
        <v>782</v>
      </c>
    </row>
    <row r="87" spans="1:1">
      <c r="A87" s="556" t="s">
        <v>783</v>
      </c>
    </row>
    <row r="88" spans="1:1">
      <c r="A88" s="556" t="s">
        <v>784</v>
      </c>
    </row>
    <row r="89" spans="1:1">
      <c r="A89" s="556" t="s">
        <v>785</v>
      </c>
    </row>
    <row r="90" spans="1:1">
      <c r="A90" s="556" t="s">
        <v>786</v>
      </c>
    </row>
    <row r="91" spans="1:1">
      <c r="A91" s="556" t="s">
        <v>787</v>
      </c>
    </row>
    <row r="92" spans="1:1">
      <c r="A92" s="556" t="s">
        <v>788</v>
      </c>
    </row>
    <row r="93" spans="1:1">
      <c r="A93" s="556" t="s">
        <v>789</v>
      </c>
    </row>
    <row r="94" spans="1:1">
      <c r="A94" s="556" t="s">
        <v>790</v>
      </c>
    </row>
    <row r="95" spans="1:1">
      <c r="A95" s="557" t="s">
        <v>791</v>
      </c>
    </row>
    <row r="96" spans="1:1">
      <c r="A96" s="557" t="s">
        <v>792</v>
      </c>
    </row>
    <row r="98" spans="1:1">
      <c r="A98" s="422" t="s">
        <v>655</v>
      </c>
    </row>
    <row r="99" spans="1:1">
      <c r="A99" s="1" t="s">
        <v>656</v>
      </c>
    </row>
    <row r="100" spans="1:1">
      <c r="A100" s="1" t="s">
        <v>657</v>
      </c>
    </row>
    <row r="102" spans="1:1">
      <c r="A102" s="422" t="s">
        <v>651</v>
      </c>
    </row>
    <row r="103" spans="1:1">
      <c r="A103" s="68" t="s">
        <v>652</v>
      </c>
    </row>
    <row r="104" spans="1:1">
      <c r="A104" s="68" t="s">
        <v>653</v>
      </c>
    </row>
    <row r="105" spans="1:1">
      <c r="A105" s="68" t="s">
        <v>654</v>
      </c>
    </row>
    <row r="107" spans="1:1">
      <c r="A107" s="422" t="s">
        <v>640</v>
      </c>
    </row>
    <row r="108" spans="1:1">
      <c r="A108" s="68" t="s">
        <v>650</v>
      </c>
    </row>
    <row r="110" spans="1:1">
      <c r="A110" s="422" t="s">
        <v>624</v>
      </c>
    </row>
    <row r="111" spans="1:1">
      <c r="A111" s="421" t="s">
        <v>625</v>
      </c>
    </row>
    <row r="112" spans="1:1">
      <c r="A112" s="421" t="s">
        <v>626</v>
      </c>
    </row>
    <row r="113" spans="1:1">
      <c r="A113" s="421" t="s">
        <v>627</v>
      </c>
    </row>
    <row r="114" spans="1:1">
      <c r="A114" s="68" t="s">
        <v>638</v>
      </c>
    </row>
    <row r="116" spans="1:1">
      <c r="A116" s="64" t="s">
        <v>398</v>
      </c>
    </row>
    <row r="117" spans="1:1">
      <c r="A117" s="402" t="s">
        <v>399</v>
      </c>
    </row>
    <row r="118" spans="1:1" ht="21.75" customHeight="1">
      <c r="A118" s="400" t="s">
        <v>400</v>
      </c>
    </row>
    <row r="119" spans="1:1">
      <c r="A119" s="400" t="s">
        <v>401</v>
      </c>
    </row>
    <row r="120" spans="1:1" ht="31.5">
      <c r="A120" s="401" t="s">
        <v>402</v>
      </c>
    </row>
    <row r="121" spans="1:1">
      <c r="A121" s="400" t="s">
        <v>403</v>
      </c>
    </row>
    <row r="122" spans="1:1">
      <c r="A122" s="400" t="s">
        <v>404</v>
      </c>
    </row>
    <row r="123" spans="1:1">
      <c r="A123" s="400" t="s">
        <v>405</v>
      </c>
    </row>
    <row r="124" spans="1:1">
      <c r="A124" s="400" t="s">
        <v>406</v>
      </c>
    </row>
    <row r="125" spans="1:1">
      <c r="A125" s="403" t="s">
        <v>407</v>
      </c>
    </row>
    <row r="126" spans="1:1">
      <c r="A126" s="404" t="s">
        <v>408</v>
      </c>
    </row>
    <row r="128" spans="1:1">
      <c r="A128" s="64" t="s">
        <v>345</v>
      </c>
    </row>
    <row r="129" spans="1:1" ht="31.5">
      <c r="A129" s="2" t="s">
        <v>346</v>
      </c>
    </row>
    <row r="131" spans="1:1">
      <c r="A131" s="64" t="s">
        <v>342</v>
      </c>
    </row>
    <row r="132" spans="1:1">
      <c r="A132" s="1" t="s">
        <v>343</v>
      </c>
    </row>
    <row r="133" spans="1:1">
      <c r="A133" s="1" t="s">
        <v>344</v>
      </c>
    </row>
    <row r="135" spans="1:1">
      <c r="A135" s="64" t="s">
        <v>238</v>
      </c>
    </row>
    <row r="136" spans="1:1">
      <c r="A136" s="1" t="s">
        <v>220</v>
      </c>
    </row>
    <row r="137" spans="1:1">
      <c r="A137" s="1" t="s">
        <v>221</v>
      </c>
    </row>
    <row r="138" spans="1:1">
      <c r="A138" s="1" t="s">
        <v>222</v>
      </c>
    </row>
    <row r="139" spans="1:1">
      <c r="A139" s="1" t="s">
        <v>223</v>
      </c>
    </row>
    <row r="140" spans="1:1">
      <c r="A140" s="1" t="s">
        <v>224</v>
      </c>
    </row>
    <row r="141" spans="1:1">
      <c r="A141" s="1" t="s">
        <v>225</v>
      </c>
    </row>
    <row r="142" spans="1:1" ht="31.5">
      <c r="A142" s="2" t="s">
        <v>226</v>
      </c>
    </row>
    <row r="143" spans="1:1" ht="31.5">
      <c r="A143" s="2" t="s">
        <v>227</v>
      </c>
    </row>
    <row r="144" spans="1:1">
      <c r="A144" s="2" t="s">
        <v>228</v>
      </c>
    </row>
    <row r="145" spans="1:1">
      <c r="A145" s="2" t="s">
        <v>229</v>
      </c>
    </row>
    <row r="146" spans="1:1" ht="31.5">
      <c r="A146" s="2" t="s">
        <v>230</v>
      </c>
    </row>
    <row r="147" spans="1:1">
      <c r="A147" s="1" t="s">
        <v>231</v>
      </c>
    </row>
    <row r="148" spans="1:1" ht="31.5">
      <c r="A148" s="2" t="s">
        <v>232</v>
      </c>
    </row>
    <row r="149" spans="1:1">
      <c r="A149" s="1" t="s">
        <v>233</v>
      </c>
    </row>
    <row r="150" spans="1:1">
      <c r="A150" s="1" t="s">
        <v>234</v>
      </c>
    </row>
    <row r="151" spans="1:1">
      <c r="A151" s="1" t="s">
        <v>235</v>
      </c>
    </row>
    <row r="152" spans="1:1" ht="31.5">
      <c r="A152" s="2" t="s">
        <v>236</v>
      </c>
    </row>
    <row r="153" spans="1:1">
      <c r="A153" s="1" t="s">
        <v>237</v>
      </c>
    </row>
    <row r="156" spans="1:1">
      <c r="A156" s="64" t="s">
        <v>215</v>
      </c>
    </row>
    <row r="157" spans="1:1">
      <c r="A157" s="1" t="s">
        <v>216</v>
      </c>
    </row>
    <row r="159" spans="1:1">
      <c r="A159" s="64" t="s">
        <v>241</v>
      </c>
    </row>
    <row r="160" spans="1:1">
      <c r="A160" s="1" t="s">
        <v>242</v>
      </c>
    </row>
    <row r="161" spans="1:1">
      <c r="A161" s="1" t="s">
        <v>243</v>
      </c>
    </row>
    <row r="162" spans="1:1">
      <c r="A162" s="1" t="s">
        <v>244</v>
      </c>
    </row>
    <row r="163" spans="1:1">
      <c r="A163" s="1" t="s">
        <v>245</v>
      </c>
    </row>
    <row r="165" spans="1:1">
      <c r="A165" s="64" t="s">
        <v>213</v>
      </c>
    </row>
    <row r="166" spans="1:1">
      <c r="A166" s="1" t="s">
        <v>214</v>
      </c>
    </row>
    <row r="168" spans="1:1">
      <c r="A168" s="64" t="s">
        <v>206</v>
      </c>
    </row>
    <row r="169" spans="1:1">
      <c r="A169" s="1" t="s">
        <v>207</v>
      </c>
    </row>
    <row r="170" spans="1:1">
      <c r="A170" s="1" t="s">
        <v>208</v>
      </c>
    </row>
    <row r="171" spans="1:1" ht="31.5">
      <c r="A171" s="2" t="s">
        <v>209</v>
      </c>
    </row>
    <row r="172" spans="1:1">
      <c r="A172" s="1" t="s">
        <v>210</v>
      </c>
    </row>
    <row r="173" spans="1:1">
      <c r="A173" s="1" t="s">
        <v>211</v>
      </c>
    </row>
    <row r="174" spans="1:1">
      <c r="A174" s="1" t="s">
        <v>212</v>
      </c>
    </row>
    <row r="175" spans="1:1" ht="18" customHeight="1"/>
    <row r="176" spans="1:1" ht="48.75" customHeight="1"/>
    <row r="177" spans="1:1">
      <c r="A177" s="64" t="s">
        <v>125</v>
      </c>
    </row>
    <row r="178" spans="1:1" ht="47.25">
      <c r="A178" s="2" t="s">
        <v>152</v>
      </c>
    </row>
    <row r="179" spans="1:1">
      <c r="A179" s="1" t="s">
        <v>126</v>
      </c>
    </row>
    <row r="180" spans="1:1">
      <c r="A180" s="1" t="s">
        <v>127</v>
      </c>
    </row>
    <row r="181" spans="1:1">
      <c r="A181" s="1" t="s">
        <v>153</v>
      </c>
    </row>
    <row r="182" spans="1:1">
      <c r="A182" s="1" t="s">
        <v>128</v>
      </c>
    </row>
    <row r="183" spans="1:1">
      <c r="A183" s="1" t="s">
        <v>129</v>
      </c>
    </row>
    <row r="184" spans="1:1">
      <c r="A184" s="1" t="s">
        <v>248</v>
      </c>
    </row>
    <row r="185" spans="1:1">
      <c r="A185" s="1" t="s">
        <v>130</v>
      </c>
    </row>
    <row r="186" spans="1:1">
      <c r="A186" s="1" t="s">
        <v>131</v>
      </c>
    </row>
    <row r="187" spans="1:1" ht="31.5">
      <c r="A187" s="2" t="s">
        <v>132</v>
      </c>
    </row>
    <row r="188" spans="1:1" ht="31.5">
      <c r="A188" s="2" t="s">
        <v>249</v>
      </c>
    </row>
    <row r="189" spans="1:1">
      <c r="A189" s="1" t="s">
        <v>133</v>
      </c>
    </row>
    <row r="190" spans="1:1">
      <c r="A190" s="1" t="s">
        <v>134</v>
      </c>
    </row>
    <row r="191" spans="1:1">
      <c r="A191" s="1" t="s">
        <v>154</v>
      </c>
    </row>
    <row r="192" spans="1:1">
      <c r="A192" s="1" t="s">
        <v>135</v>
      </c>
    </row>
    <row r="193" spans="1:1">
      <c r="A193" s="1" t="s">
        <v>155</v>
      </c>
    </row>
    <row r="194" spans="1:1" ht="31.5">
      <c r="A194" s="2" t="s">
        <v>156</v>
      </c>
    </row>
    <row r="195" spans="1:1">
      <c r="A195" s="1" t="s">
        <v>143</v>
      </c>
    </row>
    <row r="196" spans="1:1">
      <c r="A196" s="1" t="s">
        <v>144</v>
      </c>
    </row>
    <row r="197" spans="1:1" ht="31.5">
      <c r="A197" s="2" t="s">
        <v>145</v>
      </c>
    </row>
    <row r="198" spans="1:1">
      <c r="A198" s="1" t="s">
        <v>192</v>
      </c>
    </row>
    <row r="199" spans="1:1">
      <c r="A199" s="1" t="s">
        <v>193</v>
      </c>
    </row>
    <row r="200" spans="1:1">
      <c r="A200" s="1" t="s">
        <v>195</v>
      </c>
    </row>
    <row r="201" spans="1:1">
      <c r="A201" s="1" t="s">
        <v>196</v>
      </c>
    </row>
    <row r="202" spans="1:1">
      <c r="A202" s="1" t="s">
        <v>197</v>
      </c>
    </row>
    <row r="203" spans="1:1">
      <c r="A203" s="1" t="s">
        <v>198</v>
      </c>
    </row>
    <row r="204" spans="1:1">
      <c r="A204" s="1" t="s">
        <v>199</v>
      </c>
    </row>
    <row r="205" spans="1:1">
      <c r="A205" s="1" t="s">
        <v>200</v>
      </c>
    </row>
    <row r="206" spans="1:1">
      <c r="A206" s="1" t="s">
        <v>201</v>
      </c>
    </row>
    <row r="207" spans="1:1">
      <c r="A207" s="1" t="s">
        <v>202</v>
      </c>
    </row>
    <row r="208" spans="1:1">
      <c r="A208" s="1" t="s">
        <v>203</v>
      </c>
    </row>
    <row r="209" spans="1:1">
      <c r="A209" s="1" t="s">
        <v>204</v>
      </c>
    </row>
    <row r="210" spans="1:1">
      <c r="A210" s="1" t="s">
        <v>250</v>
      </c>
    </row>
    <row r="211" spans="1:1">
      <c r="A211" s="1" t="s">
        <v>251</v>
      </c>
    </row>
    <row r="212" spans="1:1">
      <c r="A212" s="1" t="s">
        <v>252</v>
      </c>
    </row>
    <row r="213" spans="1:1">
      <c r="A213" s="1" t="s">
        <v>253</v>
      </c>
    </row>
    <row r="214" spans="1:1">
      <c r="A214" s="1" t="s">
        <v>187</v>
      </c>
    </row>
    <row r="215" spans="1:1">
      <c r="A215" s="1" t="s">
        <v>205</v>
      </c>
    </row>
    <row r="216" spans="1:1">
      <c r="A216" s="1" t="s">
        <v>190</v>
      </c>
    </row>
  </sheetData>
  <sheetProtection sheet="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44</vt:i4>
      </vt:variant>
      <vt:variant>
        <vt:lpstr>Named Ranges</vt:lpstr>
      </vt:variant>
      <vt:variant>
        <vt:i4>8</vt:i4>
      </vt:variant>
    </vt:vector>
  </HeadingPairs>
  <TitlesOfParts>
    <vt:vector size="52" baseType="lpstr">
      <vt:lpstr>Instructions</vt:lpstr>
      <vt:lpstr>inputPrYr</vt:lpstr>
      <vt:lpstr>inputOth</vt:lpstr>
      <vt:lpstr>inputBudSum</vt:lpstr>
      <vt:lpstr>cert</vt:lpstr>
      <vt:lpstr>computation</vt:lpstr>
      <vt:lpstr>mvalloc</vt:lpstr>
      <vt:lpstr>transfers</vt:lpstr>
      <vt:lpstr>TransferStatutes</vt:lpstr>
      <vt:lpstr>debt</vt:lpstr>
      <vt:lpstr>lpform</vt:lpstr>
      <vt:lpstr>Library Grant </vt:lpstr>
      <vt:lpstr>general</vt:lpstr>
      <vt:lpstr>GenDetail </vt:lpstr>
      <vt:lpstr>DebtSvs</vt:lpstr>
      <vt:lpstr>Library</vt:lpstr>
      <vt:lpstr>Aquatic Sales Co Infra</vt:lpstr>
      <vt:lpstr>Con Tour Drug Alcohol</vt:lpstr>
      <vt:lpstr>ED EMS Capital</vt:lpstr>
      <vt:lpstr>EMS Library Sales</vt:lpstr>
      <vt:lpstr>Park Ded Rec Programs</vt:lpstr>
      <vt:lpstr>Risk Mgmt Sen Ctr</vt:lpstr>
      <vt:lpstr>Sidewalk Soccer</vt:lpstr>
      <vt:lpstr>Spec Parks Streets</vt:lpstr>
      <vt:lpstr>Ball Pool</vt:lpstr>
      <vt:lpstr>Tiblow TIF Develop</vt:lpstr>
      <vt:lpstr>TIF Increment CID Develop</vt:lpstr>
      <vt:lpstr>Center CID Ctr City Contrib</vt:lpstr>
      <vt:lpstr>Solid Waste Storm</vt:lpstr>
      <vt:lpstr>Waste Water</vt:lpstr>
      <vt:lpstr>Water</vt:lpstr>
      <vt:lpstr>NonBudA</vt:lpstr>
      <vt:lpstr>NonBudFunds</vt:lpstr>
      <vt:lpstr>summ</vt:lpstr>
      <vt:lpstr>nhood</vt:lpstr>
      <vt:lpstr>ordinance</vt:lpstr>
      <vt:lpstr>Tab A</vt:lpstr>
      <vt:lpstr>Tab B</vt:lpstr>
      <vt:lpstr>Tab C</vt:lpstr>
      <vt:lpstr>Tab D</vt:lpstr>
      <vt:lpstr>Tab E</vt:lpstr>
      <vt:lpstr>Mill Rate Computation</vt:lpstr>
      <vt:lpstr>Helpful Links</vt:lpstr>
      <vt:lpstr>legend</vt:lpstr>
      <vt:lpstr>DebtSvs!Print_Area</vt:lpstr>
      <vt:lpstr>'GenDetail '!Print_Area</vt:lpstr>
      <vt:lpstr>general!Print_Area</vt:lpstr>
      <vt:lpstr>inputPrYr!Print_Area</vt:lpstr>
      <vt:lpstr>'Library Grant '!Print_Area</vt:lpstr>
      <vt:lpstr>lpform!Print_Area</vt:lpstr>
      <vt:lpstr>'Mill Rate Computation'!Print_Area</vt:lpstr>
      <vt:lpstr>summ!Print_Area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City Budget Form - Short</dc:title>
  <dc:creator>Barbara Butts</dc:creator>
  <cp:lastModifiedBy>ug</cp:lastModifiedBy>
  <cp:lastPrinted>2013-08-06T16:11:17Z</cp:lastPrinted>
  <dcterms:created xsi:type="dcterms:W3CDTF">1999-08-03T13:11:47Z</dcterms:created>
  <dcterms:modified xsi:type="dcterms:W3CDTF">2013-08-20T15:03:21Z</dcterms:modified>
</cp:coreProperties>
</file>