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2715" tabRatio="869" activeTab="16"/>
  </bookViews>
  <sheets>
    <sheet name="instructions" sheetId="1" r:id="rId1"/>
    <sheet name="inputPrYr" sheetId="2" r:id="rId2"/>
    <sheet name="inputOth" sheetId="14" r:id="rId3"/>
    <sheet name="inputBudSum" sheetId="25" r:id="rId4"/>
    <sheet name="cert" sheetId="3" r:id="rId5"/>
    <sheet name="computation" sheetId="10" r:id="rId6"/>
    <sheet name="mvalloc" sheetId="7" r:id="rId7"/>
    <sheet name="transfers" sheetId="13" r:id="rId8"/>
    <sheet name="TransferFunds" sheetId="18" r:id="rId9"/>
    <sheet name="debt" sheetId="9" r:id="rId10"/>
    <sheet name="gen" sheetId="4" r:id="rId11"/>
    <sheet name="DebtService" sheetId="15" r:id="rId12"/>
    <sheet name="levypage8" sheetId="5" r:id="rId13"/>
    <sheet name="nolevypage9" sheetId="6" r:id="rId14"/>
    <sheet name="NonBud" sheetId="17" r:id="rId15"/>
    <sheet name="NonBudFunds" sheetId="19" r:id="rId16"/>
    <sheet name="summ" sheetId="8" r:id="rId17"/>
    <sheet name="Nhood" sheetId="16" r:id="rId18"/>
    <sheet name="Resolution" sheetId="12" r:id="rId19"/>
    <sheet name="Tab A" sheetId="20" r:id="rId20"/>
    <sheet name="Tab B" sheetId="21" r:id="rId21"/>
    <sheet name="Tab C" sheetId="22" r:id="rId22"/>
    <sheet name="Tab D" sheetId="23" r:id="rId23"/>
    <sheet name="Tab E" sheetId="24" r:id="rId24"/>
    <sheet name="Mill Rate Computation" sheetId="26" r:id="rId25"/>
    <sheet name="Helpful Links" sheetId="27" r:id="rId26"/>
    <sheet name="legend" sheetId="11" r:id="rId27"/>
  </sheets>
  <definedNames>
    <definedName name="_xlnm.Print_Area" localSheetId="11">DebtService!$B$1:$E$62</definedName>
    <definedName name="_xlnm.Print_Area" localSheetId="10">gen!$B$1:$F$74</definedName>
    <definedName name="_xlnm.Print_Area" localSheetId="1">inputPrYr!$A$1:$E$46</definedName>
    <definedName name="_xlnm.Print_Area" localSheetId="0">instructions!$A$1:$A$93</definedName>
    <definedName name="_xlnm.Print_Area" localSheetId="12">levypage8!$A$1:$E$91</definedName>
    <definedName name="_xlnm.Print_Area" localSheetId="16">summ!$A$1:$I$41</definedName>
  </definedNames>
  <calcPr calcId="114210"/>
</workbook>
</file>

<file path=xl/calcChain.xml><?xml version="1.0" encoding="utf-8"?>
<calcChain xmlns="http://schemas.openxmlformats.org/spreadsheetml/2006/main">
  <c r="D47" i="5"/>
  <c r="D9"/>
  <c r="D8" i="15"/>
  <c r="D9" i="4"/>
  <c r="D33"/>
  <c r="E16" i="8"/>
  <c r="E17"/>
  <c r="E18"/>
  <c r="E19"/>
  <c r="E23"/>
  <c r="G87" i="5"/>
  <c r="H87"/>
  <c r="E3" i="6"/>
  <c r="B66"/>
  <c r="E3" i="5"/>
  <c r="D6"/>
  <c r="D44"/>
  <c r="E3" i="4"/>
  <c r="E6"/>
  <c r="G2" i="7"/>
  <c r="D9"/>
  <c r="A40" i="8"/>
  <c r="A41"/>
  <c r="G20" i="25"/>
  <c r="G22"/>
  <c r="G23" i="2"/>
  <c r="G22"/>
  <c r="G20"/>
  <c r="G19"/>
  <c r="G18"/>
  <c r="J148" i="26"/>
  <c r="H134"/>
  <c r="C137"/>
  <c r="J137"/>
  <c r="H120"/>
  <c r="C123"/>
  <c r="H114"/>
  <c r="F117"/>
  <c r="H117"/>
  <c r="F123"/>
  <c r="J123"/>
  <c r="H100"/>
  <c r="C103"/>
  <c r="J103"/>
  <c r="H94"/>
  <c r="F97"/>
  <c r="H97"/>
  <c r="F103"/>
  <c r="H80"/>
  <c r="C83"/>
  <c r="H74"/>
  <c r="F77"/>
  <c r="H77"/>
  <c r="F83"/>
  <c r="J83"/>
  <c r="H48"/>
  <c r="F50"/>
  <c r="J50"/>
  <c r="H41"/>
  <c r="B28"/>
  <c r="H28"/>
  <c r="H25"/>
  <c r="C25"/>
  <c r="E12" i="16"/>
  <c r="E11"/>
  <c r="D39" i="5"/>
  <c r="D77"/>
  <c r="D59" i="15"/>
  <c r="D67" i="4"/>
  <c r="A8" i="24"/>
  <c r="A46" i="23"/>
  <c r="A41"/>
  <c r="A6"/>
  <c r="A38" i="22"/>
  <c r="A33"/>
  <c r="A19"/>
  <c r="A6"/>
  <c r="A34" i="21"/>
  <c r="A33"/>
  <c r="A6"/>
  <c r="A64" i="20"/>
  <c r="A61"/>
  <c r="A33"/>
  <c r="A28"/>
  <c r="A25"/>
  <c r="A16"/>
  <c r="A6"/>
  <c r="A6" i="8"/>
  <c r="A8"/>
  <c r="D16" i="16"/>
  <c r="C14" i="7"/>
  <c r="C13"/>
  <c r="C12"/>
  <c r="C11"/>
  <c r="E24" i="2"/>
  <c r="D26" i="8"/>
  <c r="J6" i="10"/>
  <c r="D36" i="2"/>
  <c r="A45"/>
  <c r="A44"/>
  <c r="E1" i="15"/>
  <c r="G48"/>
  <c r="E17" i="7"/>
  <c r="E19"/>
  <c r="E21"/>
  <c r="D21" i="5"/>
  <c r="C21"/>
  <c r="C22"/>
  <c r="C33"/>
  <c r="G39"/>
  <c r="D33"/>
  <c r="D9" i="16"/>
  <c r="E9"/>
  <c r="E30" i="5"/>
  <c r="E33"/>
  <c r="D59"/>
  <c r="C59"/>
  <c r="C60"/>
  <c r="C71"/>
  <c r="G79"/>
  <c r="D71"/>
  <c r="D70"/>
  <c r="D10" i="16"/>
  <c r="E10"/>
  <c r="E68" i="5"/>
  <c r="E71"/>
  <c r="D29" i="15"/>
  <c r="C29"/>
  <c r="C30"/>
  <c r="C53"/>
  <c r="B17" i="8"/>
  <c r="D53" i="15"/>
  <c r="D8" i="16"/>
  <c r="E8"/>
  <c r="E50" i="15"/>
  <c r="E53"/>
  <c r="D35" i="5"/>
  <c r="D87"/>
  <c r="C35"/>
  <c r="C87"/>
  <c r="B37"/>
  <c r="D73"/>
  <c r="C73"/>
  <c r="D33" i="6"/>
  <c r="C33"/>
  <c r="C66"/>
  <c r="D66"/>
  <c r="C64"/>
  <c r="C52"/>
  <c r="C53"/>
  <c r="C65"/>
  <c r="D64"/>
  <c r="D67"/>
  <c r="E64"/>
  <c r="D52"/>
  <c r="E52"/>
  <c r="C31"/>
  <c r="C34"/>
  <c r="C19"/>
  <c r="C20"/>
  <c r="D31"/>
  <c r="D19"/>
  <c r="E19"/>
  <c r="E31"/>
  <c r="F20" i="8"/>
  <c r="D63" i="4"/>
  <c r="D61"/>
  <c r="D55" i="15"/>
  <c r="C55"/>
  <c r="E14" i="4"/>
  <c r="C33"/>
  <c r="C34"/>
  <c r="C61"/>
  <c r="C60"/>
  <c r="D7" i="16"/>
  <c r="E7"/>
  <c r="C63" i="4"/>
  <c r="C81"/>
  <c r="J28" i="17"/>
  <c r="H28"/>
  <c r="F28"/>
  <c r="A22" i="8"/>
  <c r="A29" i="3"/>
  <c r="D29"/>
  <c r="I5" i="17"/>
  <c r="G5"/>
  <c r="E5"/>
  <c r="C5"/>
  <c r="A5"/>
  <c r="D28" i="2"/>
  <c r="A28"/>
  <c r="A24"/>
  <c r="D17"/>
  <c r="E17"/>
  <c r="K1" i="17"/>
  <c r="F2"/>
  <c r="A1"/>
  <c r="K7"/>
  <c r="B17"/>
  <c r="D17"/>
  <c r="K17"/>
  <c r="K30"/>
  <c r="F17"/>
  <c r="F18"/>
  <c r="F29"/>
  <c r="F30"/>
  <c r="H17"/>
  <c r="J17"/>
  <c r="J18"/>
  <c r="J29"/>
  <c r="B28"/>
  <c r="D28"/>
  <c r="H18"/>
  <c r="H29"/>
  <c r="H30"/>
  <c r="D18"/>
  <c r="D29"/>
  <c r="D30"/>
  <c r="G11" i="10"/>
  <c r="E14"/>
  <c r="E15"/>
  <c r="G16"/>
  <c r="G18"/>
  <c r="G20"/>
  <c r="E22"/>
  <c r="A11" i="14"/>
  <c r="A9"/>
  <c r="G41" i="9"/>
  <c r="F34" i="8"/>
  <c r="F41" i="9"/>
  <c r="D32" i="3"/>
  <c r="D33"/>
  <c r="J1" i="10"/>
  <c r="B18"/>
  <c r="D30" i="6"/>
  <c r="E63"/>
  <c r="D63"/>
  <c r="C63"/>
  <c r="E30"/>
  <c r="D32" i="5"/>
  <c r="C32"/>
  <c r="C58"/>
  <c r="C70"/>
  <c r="D60" i="4"/>
  <c r="D20" i="16"/>
  <c r="D22"/>
  <c r="D18"/>
  <c r="B10"/>
  <c r="B9"/>
  <c r="B8"/>
  <c r="B7"/>
  <c r="F1"/>
  <c r="A16"/>
  <c r="A1"/>
  <c r="D11"/>
  <c r="D12"/>
  <c r="C13"/>
  <c r="D24" i="3"/>
  <c r="A46" i="14"/>
  <c r="A45"/>
  <c r="A44"/>
  <c r="A43"/>
  <c r="A42"/>
  <c r="A41"/>
  <c r="E1"/>
  <c r="A34"/>
  <c r="A38"/>
  <c r="A12"/>
  <c r="A19"/>
  <c r="A18"/>
  <c r="D22"/>
  <c r="E47" i="2"/>
  <c r="D47"/>
  <c r="I3" i="8"/>
  <c r="J34"/>
  <c r="A37" i="2"/>
  <c r="A15"/>
  <c r="F20" i="9"/>
  <c r="F33" i="8"/>
  <c r="F16" i="9"/>
  <c r="F32" i="8"/>
  <c r="F12" i="9"/>
  <c r="F31" i="8"/>
  <c r="L20" i="9"/>
  <c r="K20"/>
  <c r="J20"/>
  <c r="I20"/>
  <c r="L16"/>
  <c r="K16"/>
  <c r="J16"/>
  <c r="I16"/>
  <c r="L12"/>
  <c r="L21"/>
  <c r="K12"/>
  <c r="K21"/>
  <c r="J12"/>
  <c r="J21"/>
  <c r="I12"/>
  <c r="I21"/>
  <c r="L1"/>
  <c r="F8"/>
  <c r="G28"/>
  <c r="F27" i="8"/>
  <c r="G85" i="5"/>
  <c r="G45"/>
  <c r="G64" i="15"/>
  <c r="G72" i="4"/>
  <c r="C17" i="8"/>
  <c r="B39" i="2"/>
  <c r="B27" i="8"/>
  <c r="A10" i="14"/>
  <c r="A8"/>
  <c r="A7"/>
  <c r="B5" i="12"/>
  <c r="B27"/>
  <c r="B31"/>
  <c r="B10"/>
  <c r="B9"/>
  <c r="B19"/>
  <c r="B23"/>
  <c r="D27" i="8"/>
  <c r="F21"/>
  <c r="E24" i="13"/>
  <c r="E26"/>
  <c r="F24" i="8"/>
  <c r="D16"/>
  <c r="D18"/>
  <c r="D19"/>
  <c r="D21"/>
  <c r="D24" i="13"/>
  <c r="D26"/>
  <c r="D24" i="8"/>
  <c r="D17"/>
  <c r="D20"/>
  <c r="D23"/>
  <c r="D25"/>
  <c r="B18"/>
  <c r="B19"/>
  <c r="B20"/>
  <c r="B21"/>
  <c r="C24" i="13"/>
  <c r="C26"/>
  <c r="B24" i="8"/>
  <c r="F13"/>
  <c r="B13"/>
  <c r="A10"/>
  <c r="F1" i="13"/>
  <c r="E9"/>
  <c r="A3"/>
  <c r="A2"/>
  <c r="B12" i="7"/>
  <c r="B1" i="15"/>
  <c r="B32" i="10"/>
  <c r="B22"/>
  <c r="C15"/>
  <c r="C14"/>
  <c r="B13"/>
  <c r="B11"/>
  <c r="B9"/>
  <c r="B6"/>
  <c r="B5"/>
  <c r="A3"/>
  <c r="C2"/>
  <c r="G3" i="3"/>
  <c r="G33"/>
  <c r="A4"/>
  <c r="D34" i="8"/>
  <c r="B34"/>
  <c r="D33"/>
  <c r="D32"/>
  <c r="D31"/>
  <c r="D35"/>
  <c r="B33"/>
  <c r="B32"/>
  <c r="B31"/>
  <c r="B35"/>
  <c r="A2" i="14"/>
  <c r="A1"/>
  <c r="D42" i="2"/>
  <c r="J6" i="12"/>
  <c r="D28" i="3"/>
  <c r="D27"/>
  <c r="D26"/>
  <c r="D25"/>
  <c r="C26"/>
  <c r="C25"/>
  <c r="A28"/>
  <c r="A27"/>
  <c r="A26"/>
  <c r="A25"/>
  <c r="D31"/>
  <c r="C23"/>
  <c r="A6"/>
  <c r="E27"/>
  <c r="E28"/>
  <c r="C1" i="10"/>
  <c r="I41" i="9"/>
  <c r="H41"/>
  <c r="B2"/>
  <c r="B1"/>
  <c r="B6" i="4"/>
  <c r="B2"/>
  <c r="B1"/>
  <c r="B41" i="2"/>
  <c r="B40"/>
  <c r="B38"/>
  <c r="B44" i="5"/>
  <c r="B6"/>
  <c r="B2"/>
  <c r="B1"/>
  <c r="B39" i="6"/>
  <c r="B6"/>
  <c r="B2"/>
  <c r="B1"/>
  <c r="A21" i="8"/>
  <c r="A20"/>
  <c r="A19"/>
  <c r="A18"/>
  <c r="A5"/>
  <c r="C19"/>
  <c r="C18"/>
  <c r="C16"/>
  <c r="B26"/>
  <c r="A16"/>
  <c r="A4"/>
  <c r="B14" i="7"/>
  <c r="B13"/>
  <c r="B2"/>
  <c r="B1"/>
  <c r="B11"/>
  <c r="C18" i="6"/>
  <c r="D18"/>
  <c r="E18"/>
  <c r="C51"/>
  <c r="D51"/>
  <c r="E51"/>
  <c r="C28" i="15"/>
  <c r="D52"/>
  <c r="B4" i="16"/>
  <c r="C78" i="5"/>
  <c r="B73"/>
  <c r="C15" i="7"/>
  <c r="C24"/>
  <c r="B18" i="17"/>
  <c r="B35" i="5"/>
  <c r="B29" i="17"/>
  <c r="B30"/>
  <c r="K18"/>
  <c r="C30" i="6"/>
  <c r="C9" i="13"/>
  <c r="K7" i="9"/>
  <c r="I28"/>
  <c r="A36" i="10"/>
  <c r="D30" i="8"/>
  <c r="A26" i="14"/>
  <c r="B39"/>
  <c r="E13" i="3"/>
  <c r="A10"/>
  <c r="A11" i="8"/>
  <c r="D13"/>
  <c r="G14"/>
  <c r="F30"/>
  <c r="A6" i="14"/>
  <c r="A24"/>
  <c r="C39"/>
  <c r="K28" i="17"/>
  <c r="B22" i="8"/>
  <c r="E6" i="16"/>
  <c r="H28" i="9"/>
  <c r="A26" i="16"/>
  <c r="C6"/>
  <c r="B6"/>
  <c r="I7" i="9"/>
  <c r="D6" i="16"/>
  <c r="C47" i="3"/>
  <c r="C32" i="6"/>
  <c r="D7"/>
  <c r="D20"/>
  <c r="D32"/>
  <c r="C40" i="5"/>
  <c r="D81" i="4"/>
  <c r="A14" i="14"/>
  <c r="C67" i="6"/>
  <c r="C35"/>
  <c r="D68" i="15"/>
  <c r="J5" i="10"/>
  <c r="J7"/>
  <c r="C89" i="5"/>
  <c r="E39"/>
  <c r="E59" i="15"/>
  <c r="D34" i="6"/>
  <c r="B30" i="8"/>
  <c r="F21" i="9"/>
  <c r="C32" i="4"/>
  <c r="C72" i="5"/>
  <c r="D45"/>
  <c r="C90"/>
  <c r="J16" i="8"/>
  <c r="J19"/>
  <c r="J25"/>
  <c r="J31"/>
  <c r="J33"/>
  <c r="M14"/>
  <c r="M33"/>
  <c r="J12"/>
  <c r="J18"/>
  <c r="J23"/>
  <c r="J26"/>
  <c r="J32"/>
  <c r="A11" i="3"/>
  <c r="D14" i="7"/>
  <c r="E49" i="5"/>
  <c r="D13" i="7"/>
  <c r="E11" i="5"/>
  <c r="D12" i="7"/>
  <c r="E10" i="15"/>
  <c r="D11" i="7"/>
  <c r="E11" i="4"/>
  <c r="D20" i="5"/>
  <c r="D89"/>
  <c r="C34"/>
  <c r="D7"/>
  <c r="D22"/>
  <c r="D34"/>
  <c r="C88"/>
  <c r="C20"/>
  <c r="B75"/>
  <c r="C23" i="8"/>
  <c r="G66" i="15"/>
  <c r="C52"/>
  <c r="C68"/>
  <c r="B57"/>
  <c r="G21" i="25"/>
  <c r="G19"/>
  <c r="G23"/>
  <c r="G47" i="5"/>
  <c r="C54" i="15"/>
  <c r="D6"/>
  <c r="C69"/>
  <c r="G58"/>
  <c r="E77" i="5"/>
  <c r="D13" i="16"/>
  <c r="E58" i="4"/>
  <c r="E61"/>
  <c r="E13" i="16"/>
  <c r="E7" i="6"/>
  <c r="E20"/>
  <c r="E32"/>
  <c r="E33"/>
  <c r="D35"/>
  <c r="J68" i="5"/>
  <c r="J69"/>
  <c r="J70"/>
  <c r="J29"/>
  <c r="J30"/>
  <c r="J28"/>
  <c r="E67" i="4"/>
  <c r="J48" i="15"/>
  <c r="J49"/>
  <c r="J47"/>
  <c r="M34" i="8"/>
  <c r="J56" i="4"/>
  <c r="J57"/>
  <c r="J55"/>
  <c r="G18" i="25"/>
  <c r="F35" i="8"/>
  <c r="B55" i="15"/>
  <c r="C60"/>
  <c r="G56" i="4"/>
  <c r="H61"/>
  <c r="H63"/>
  <c r="H66"/>
  <c r="G51" i="15"/>
  <c r="H54"/>
  <c r="H56"/>
  <c r="H59"/>
  <c r="H64"/>
  <c r="H66"/>
  <c r="H72" i="4"/>
  <c r="H74"/>
  <c r="G29" i="5"/>
  <c r="H34"/>
  <c r="H36"/>
  <c r="H39"/>
  <c r="H44"/>
  <c r="H46"/>
  <c r="G65"/>
  <c r="G72"/>
  <c r="H75"/>
  <c r="H77"/>
  <c r="H80"/>
  <c r="H85"/>
  <c r="D6" i="4"/>
  <c r="C68"/>
  <c r="D5" i="15"/>
  <c r="C6" i="5"/>
  <c r="C44"/>
  <c r="E6"/>
  <c r="E44"/>
  <c r="D6" i="6"/>
  <c r="D39"/>
  <c r="B33"/>
  <c r="B63" i="4"/>
  <c r="A18" i="3"/>
  <c r="F15"/>
  <c r="G52" i="4"/>
  <c r="G59"/>
  <c r="H62"/>
  <c r="H64"/>
  <c r="H67"/>
  <c r="G44" i="15"/>
  <c r="H53"/>
  <c r="H55"/>
  <c r="H58"/>
  <c r="H63"/>
  <c r="H65"/>
  <c r="H71" i="4"/>
  <c r="H73"/>
  <c r="G25" i="5"/>
  <c r="G32"/>
  <c r="H35"/>
  <c r="H37"/>
  <c r="H40"/>
  <c r="H45"/>
  <c r="H47"/>
  <c r="G69"/>
  <c r="H74"/>
  <c r="H76"/>
  <c r="H79"/>
  <c r="H84"/>
  <c r="H86"/>
  <c r="C6" i="4"/>
  <c r="C5" i="15"/>
  <c r="C6" i="6"/>
  <c r="C39"/>
  <c r="E6"/>
  <c r="E39"/>
  <c r="D30" i="15"/>
  <c r="D54"/>
  <c r="D28"/>
  <c r="B65" i="4"/>
  <c r="E28" i="7"/>
  <c r="F12"/>
  <c r="D26"/>
  <c r="E13"/>
  <c r="E12" i="5"/>
  <c r="D58"/>
  <c r="D60"/>
  <c r="D72"/>
  <c r="F19" i="8"/>
  <c r="E75" i="5"/>
  <c r="E70"/>
  <c r="E26" i="3"/>
  <c r="F74" i="5"/>
  <c r="F64" i="4"/>
  <c r="F16" i="8"/>
  <c r="F17"/>
  <c r="F18"/>
  <c r="F23"/>
  <c r="F25"/>
  <c r="E60" i="4"/>
  <c r="E23" i="3"/>
  <c r="G24" i="10"/>
  <c r="G26"/>
  <c r="J28"/>
  <c r="J30"/>
  <c r="E24" i="3"/>
  <c r="E52" i="15"/>
  <c r="F56"/>
  <c r="E57"/>
  <c r="E32" i="5"/>
  <c r="E37"/>
  <c r="F36"/>
  <c r="E25" i="3"/>
  <c r="G74" i="4"/>
  <c r="M18" i="8"/>
  <c r="M26"/>
  <c r="C62" i="4"/>
  <c r="C82"/>
  <c r="E65"/>
  <c r="B16" i="8"/>
  <c r="B23"/>
  <c r="B25"/>
  <c r="G66" i="4"/>
  <c r="D8" i="25"/>
  <c r="G74" i="5"/>
  <c r="D90"/>
  <c r="B76"/>
  <c r="E45"/>
  <c r="E30" i="3"/>
  <c r="D7" i="4"/>
  <c r="D88" i="5"/>
  <c r="B38"/>
  <c r="E7"/>
  <c r="G34"/>
  <c r="D69" i="15"/>
  <c r="B58"/>
  <c r="G53"/>
  <c r="E6"/>
  <c r="D34" i="4"/>
  <c r="D62"/>
  <c r="D32"/>
  <c r="D15" i="7"/>
  <c r="D82" i="4"/>
  <c r="B66"/>
  <c r="E7"/>
  <c r="G61"/>
  <c r="E5" i="15"/>
  <c r="C9" i="7"/>
  <c r="B9"/>
  <c r="D9" i="13"/>
  <c r="B29"/>
  <c r="E12" i="15"/>
  <c r="F13" i="7"/>
  <c r="E13" i="5"/>
  <c r="E21"/>
  <c r="F14" i="7"/>
  <c r="E51" i="5"/>
  <c r="E14" i="7"/>
  <c r="E50" i="5"/>
  <c r="E59"/>
  <c r="E12" i="7"/>
  <c r="J30" i="17"/>
  <c r="K29"/>
  <c r="C68" i="6"/>
  <c r="D40"/>
  <c r="D53"/>
  <c r="D65"/>
  <c r="G35" i="5"/>
  <c r="E22"/>
  <c r="E38"/>
  <c r="E40"/>
  <c r="E20"/>
  <c r="F11" i="7"/>
  <c r="E11" i="15"/>
  <c r="E29"/>
  <c r="E11" i="7"/>
  <c r="G75" i="5"/>
  <c r="E60"/>
  <c r="E76"/>
  <c r="E78"/>
  <c r="E58"/>
  <c r="H18" i="8"/>
  <c r="G44" i="5"/>
  <c r="F25" i="3"/>
  <c r="G18" i="8"/>
  <c r="G36" i="5"/>
  <c r="K36"/>
  <c r="G25" i="3"/>
  <c r="G37" i="5"/>
  <c r="G40"/>
  <c r="E40" i="6"/>
  <c r="E53"/>
  <c r="E65"/>
  <c r="E66"/>
  <c r="D68"/>
  <c r="E13" i="4"/>
  <c r="F15" i="7"/>
  <c r="H19" i="8"/>
  <c r="G84" i="5"/>
  <c r="F26" i="3"/>
  <c r="G76" i="5"/>
  <c r="K76"/>
  <c r="G26" i="3"/>
  <c r="G19" i="8"/>
  <c r="E12" i="4"/>
  <c r="E33"/>
  <c r="E15" i="7"/>
  <c r="G54" i="15"/>
  <c r="E30"/>
  <c r="E58"/>
  <c r="E60"/>
  <c r="E28"/>
  <c r="G77" i="5"/>
  <c r="G80"/>
  <c r="G24" i="3"/>
  <c r="J32" i="10"/>
  <c r="J34"/>
  <c r="G55" i="15"/>
  <c r="K55"/>
  <c r="G17" i="8"/>
  <c r="H17"/>
  <c r="G63" i="15"/>
  <c r="F24" i="3"/>
  <c r="G62" i="4"/>
  <c r="E34"/>
  <c r="E66"/>
  <c r="E68"/>
  <c r="E32"/>
  <c r="G56" i="15"/>
  <c r="G59"/>
  <c r="G16" i="8"/>
  <c r="G23"/>
  <c r="M25"/>
  <c r="M27"/>
  <c r="G63" i="4"/>
  <c r="K63"/>
  <c r="H16" i="8"/>
  <c r="F23" i="3"/>
  <c r="F30"/>
  <c r="G23"/>
  <c r="G30"/>
  <c r="G64" i="4"/>
  <c r="G67"/>
  <c r="F31" i="3"/>
  <c r="I70" i="15"/>
  <c r="I89" i="5"/>
  <c r="I76" i="4"/>
  <c r="I49" i="5"/>
  <c r="G71" i="4"/>
  <c r="H23" i="8"/>
  <c r="M21"/>
  <c r="J21"/>
  <c r="M20"/>
  <c r="J20"/>
  <c r="G46" i="5"/>
  <c r="G73" i="4"/>
  <c r="G65" i="15"/>
  <c r="M31" i="8"/>
  <c r="G86" i="5"/>
</calcChain>
</file>

<file path=xl/sharedStrings.xml><?xml version="1.0" encoding="utf-8"?>
<sst xmlns="http://schemas.openxmlformats.org/spreadsheetml/2006/main" count="1196" uniqueCount="816">
  <si>
    <t>13f. Once the 'Notice of Budget Hearing' has been printed in the local newspaper, please review the notice to ensure the information was correctly printed.  If the information is not correct, the Notice may need to be republished, and may delay the submission of the budget.</t>
  </si>
  <si>
    <r>
      <t xml:space="preserve">11e.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</si>
  <si>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11f.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</si>
  <si>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11g.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</si>
  <si>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</si>
  <si>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</si>
  <si>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</si>
  <si>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</si>
  <si>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</si>
  <si>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</si>
  <si>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</si>
  <si>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</si>
  <si>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</si>
  <si>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</si>
  <si>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</si>
  <si>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</si>
  <si>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</si>
  <si>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</si>
  <si>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</si>
  <si>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</si>
  <si>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</si>
  <si>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</si>
  <si>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</si>
  <si>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</si>
  <si>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</si>
  <si>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</si>
  <si>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</si>
  <si>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</si>
  <si>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</si>
  <si>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</si>
  <si>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</si>
  <si>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</si>
  <si>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</si>
  <si>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</si>
  <si>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</si>
  <si>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</si>
  <si>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</si>
  <si>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</si>
  <si>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</si>
  <si>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</si>
  <si>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</si>
  <si>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</si>
  <si>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</si>
  <si>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</si>
  <si>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</si>
  <si>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</si>
  <si>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</si>
  <si>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</si>
  <si>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</si>
  <si>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</si>
  <si>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</si>
  <si>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</si>
  <si>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</si>
  <si>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</si>
  <si>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</si>
  <si>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</si>
  <si>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</si>
  <si>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</si>
  <si>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</si>
  <si>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13. InputBudSum tab, added official name and latest date for publication of Notice of Budget Hearing</t>
  </si>
  <si>
    <t>14. Cert tab, right justifyed figures versus having figures centered</t>
  </si>
  <si>
    <t>15. Cert tab, put spaces between governing body signatures block</t>
  </si>
  <si>
    <t>16. Mvalloc tab, removed slider column and computation for slider</t>
  </si>
  <si>
    <t>17. All tax levy fund pages removed the link from Mvalloc tab for slider and converted cells to blank</t>
  </si>
  <si>
    <t xml:space="preserve">18. Debt and Lpform tab added a blank new column at left side and formated 'type of debt' and 'item purchased'  </t>
  </si>
  <si>
    <t>19. All fund pages changed the year column heading, example 'Prior Year Actual' to 'Prior Year' second line 'Actual YYYY'</t>
  </si>
  <si>
    <t xml:space="preserve">20. Change out the 'Mill Rate Computation' tab so to agree with the website </t>
  </si>
  <si>
    <t>21. All tax levy fund pages added 'Mill Rate Comparison' table</t>
  </si>
  <si>
    <t>22. Certificate tab added a place for the email address of the assisted by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</si>
  <si>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</si>
  <si>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t xml:space="preserve">5b.  If someone other than a municipal employee assists in preparing the budget, please enter the person's or firm's name and address in the area provided or email address. </t>
  </si>
  <si>
    <t>11.  Individual fund sheets (tab names gen, DebtService, levy pages, nolevy pages, and nonbud) need to be completed, using only those you need and numbering each page used.  When the fund pages are completed, the totals will be shown on the Certificate and Budget Summary pages.</t>
  </si>
  <si>
    <t>Is a resolution required?</t>
  </si>
  <si>
    <t>1.  Added "resolution required?  yes/no" message to area adjacent to each tax levy fund</t>
  </si>
  <si>
    <t>The following were changed to this spreadsheet on 10/10/12</t>
  </si>
  <si>
    <t>The following were changed to this spreadsheet on 3/6/13</t>
  </si>
  <si>
    <t>1. Correction to the total assessed valuation year formula on the certificate tab</t>
  </si>
  <si>
    <t xml:space="preserve">Please read these instructions carefully.  If after reviewing them you still have questions, call Rogers Brazier at 785.296.2846 or email to armunis@da.ks.gov </t>
  </si>
  <si>
    <t>The following were changed to this spreadsheet on 3/27/13</t>
  </si>
  <si>
    <t>1.  Instruction tab narrative modification</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</si>
  <si>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</si>
  <si>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</si>
  <si>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</si>
  <si>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</si>
  <si>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</si>
  <si>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</si>
  <si>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</si>
  <si>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</si>
  <si>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</si>
  <si>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</si>
  <si>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</si>
  <si>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</si>
  <si>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</si>
  <si>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</si>
  <si>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</si>
  <si>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</si>
  <si>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</si>
  <si>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</si>
  <si>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</si>
  <si>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</si>
  <si>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</si>
  <si>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</si>
  <si>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</si>
  <si>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</si>
  <si>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</si>
  <si>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</si>
  <si>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</si>
  <si>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</si>
  <si>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</si>
  <si>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</si>
  <si>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</si>
  <si>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</si>
  <si>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</si>
  <si>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</si>
  <si>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</si>
  <si>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</si>
  <si>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</si>
  <si>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</si>
  <si>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</si>
  <si>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</si>
  <si>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</si>
  <si>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</si>
  <si>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</si>
  <si>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</si>
  <si>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</si>
  <si>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</si>
  <si>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</si>
  <si>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</si>
  <si>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</si>
  <si>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</si>
  <si>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</si>
  <si>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</si>
  <si>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</si>
  <si>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</si>
  <si>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</si>
  <si>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</si>
  <si>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</si>
  <si>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</si>
  <si>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</si>
  <si>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</si>
  <si>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</si>
  <si>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</si>
  <si>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</si>
  <si>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</si>
  <si>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</si>
  <si>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</si>
  <si>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</si>
  <si>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</si>
  <si>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</si>
  <si>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</si>
  <si>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</si>
  <si>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</si>
  <si>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</si>
  <si>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</si>
  <si>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</si>
  <si>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</si>
  <si>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</si>
  <si>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</si>
  <si>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</si>
  <si>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</si>
  <si>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</si>
  <si>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</si>
  <si>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</si>
  <si>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</si>
  <si>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</si>
  <si>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</si>
  <si>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</si>
  <si>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</si>
  <si>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</si>
  <si>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</si>
  <si>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</si>
  <si>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</si>
  <si>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</si>
  <si>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</si>
  <si>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</si>
  <si>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</si>
  <si>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</si>
  <si>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</si>
  <si>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</si>
  <si>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</si>
  <si>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</si>
  <si>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</si>
  <si>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</si>
  <si>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</si>
  <si>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</si>
  <si>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</si>
  <si>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</si>
  <si>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</si>
  <si>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</si>
  <si>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</si>
  <si>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</si>
  <si>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</si>
  <si>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</si>
  <si>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</si>
  <si>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</si>
  <si>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</si>
  <si>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</si>
  <si>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</si>
  <si>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</si>
  <si>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</si>
  <si>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</si>
  <si>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</si>
  <si>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</si>
  <si>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</si>
  <si>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Other</t>
  </si>
  <si>
    <t xml:space="preserve">  Other</t>
  </si>
  <si>
    <t>Desired Carryover Amount:</t>
  </si>
  <si>
    <t>Estimated Mill Rate Impact:</t>
  </si>
  <si>
    <t>The estimated value of one mill would be:</t>
  </si>
  <si>
    <t>Change in Ad Valorem Tax Revenue:</t>
  </si>
  <si>
    <t>What Mill Rate Would Be Desired?</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</si>
  <si>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</si>
  <si>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</si>
  <si>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</si>
  <si>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</si>
  <si>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</si>
  <si>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</si>
  <si>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</si>
  <si>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</si>
  <si>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</si>
  <si>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</si>
  <si>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</si>
  <si>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</si>
  <si>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</si>
  <si>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</si>
  <si>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</si>
  <si>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</si>
  <si>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</si>
  <si>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</si>
  <si>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</si>
  <si>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</si>
  <si>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</si>
  <si>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</si>
  <si>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</si>
  <si>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</si>
  <si>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</si>
  <si>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</si>
  <si>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</si>
  <si>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The following were changed to this spreadsheet on 4/19/11</t>
  </si>
  <si>
    <t>1. Summ tab changed proposed year expenditure column to 'Budget Authority for Expenditures'</t>
  </si>
  <si>
    <t>2. Summ tab actual total computation amended</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</si>
  <si>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</si>
  <si>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</si>
  <si>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</si>
  <si>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</si>
  <si>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</si>
  <si>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</si>
  <si>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</si>
  <si>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</si>
  <si>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Delinquency % used in this budget will be shown on all fund pages with a tax levy**</t>
  </si>
  <si>
    <t xml:space="preserve">Must be at least 10 days between date published and hearing held. </t>
  </si>
  <si>
    <t>Official Name:</t>
  </si>
  <si>
    <t>Official Title:</t>
  </si>
  <si>
    <t>January</t>
  </si>
  <si>
    <t>February</t>
  </si>
  <si>
    <t>March</t>
  </si>
  <si>
    <t>April</t>
  </si>
  <si>
    <t>May</t>
  </si>
  <si>
    <t>June</t>
  </si>
  <si>
    <t>July</t>
  </si>
  <si>
    <t>August</t>
  </si>
  <si>
    <t>September</t>
  </si>
  <si>
    <t>October</t>
  </si>
  <si>
    <t>November</t>
  </si>
  <si>
    <t>December</t>
  </si>
  <si>
    <t xml:space="preserve">ALLOCATION OF MOTOR, RECREATIONAL ,16/20M VEHICLE TAXES </t>
  </si>
  <si>
    <t>Type</t>
  </si>
  <si>
    <t>Debt</t>
  </si>
  <si>
    <t>Items</t>
  </si>
  <si>
    <t>Purchased</t>
  </si>
  <si>
    <t>Email:</t>
  </si>
  <si>
    <t>_____________________________  _____________________________</t>
  </si>
  <si>
    <t>Allocation MVT, RVT,16/20M Vehicle Tax</t>
  </si>
  <si>
    <t>Expenditures Must Be Changed by:</t>
  </si>
  <si>
    <t>Mill Rate Comparison</t>
  </si>
  <si>
    <t>The following were changed to this spreadsheet on 12/29/11</t>
  </si>
  <si>
    <r>
      <t xml:space="preserve">2b.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</si>
  <si>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1. Instructions tab, added #2b for adjusting ad valorem taxes</t>
  </si>
  <si>
    <t xml:space="preserve">3. The information entered into the Input Other (inputOth) worksheet is obtained from the County Clerk, County Treasurer, and the budget from two years ago (the year for actual year column for the current year budget) .  After the information has been entered, please verify the data is correct. </t>
  </si>
  <si>
    <t>3a.  Enter the Computation of Delinquency information. Please note that K.S.A. 79-2930 states that such allowance shall not exceed by more than 5% the percentage of delinquency for the preceding tax year.  Such allowance is not mandatory, but may be used if the municipality wishes.</t>
  </si>
  <si>
    <t>3b. If the special district chooses not to use the delinquency rate for all tax levy funds, then the special district must delete the rate from those funds. First step, go to the fund tab of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</si>
  <si>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2. Instructions tab, added #3, 3a, and 3b concerning inputoth tab</t>
  </si>
  <si>
    <r>
      <t xml:space="preserve">4a.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</si>
  <si>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4b. Once a date has been entered in the Date block, the following statement will appear: 'Latest date for notice to be published in your newspaper'.  Please ensure to take into consideration as to when your newspaper is published when arriving at the hearing date.</t>
  </si>
  <si>
    <t>3. Instructions tab, changed #4 for adding name of official for Budget Summary page</t>
  </si>
  <si>
    <t>4. Instructions tab, added #4b for new max published date on 'inputBudSum' tab</t>
  </si>
  <si>
    <t xml:space="preserve">4. The 'inputBudSum' tab is used to place information on the Budget Summary. On this tab you will need to key in the following information: Name of Person presenting the budget and title, date the budget hearing will be held, time of the hearing, location of the budget hearing, and a place whereas the taxpayers can obtain a copy of the budget.  </t>
  </si>
  <si>
    <t>6a. Note: 2007 Supplement for K.S.A. 79-2925b provides debt service to include repayment of the principle and interest upon bonded indebtedness, temporary notes, and no-fund warrants. If the county wants to include debts for temporary notes and no-fund warrants (shown on a separate fund page and not included with debt service fund page) the Computation to Determine Limit Page lines 2 and 14 will have to be changed to include these debts in the max levy computation. In order to do this, the protection must be taken off of the page and the amounts changed. You are not required to add the additional debts into the computation of the max levy amount.</t>
  </si>
  <si>
    <t>5. Instructions tab, changed #6a to reflect about temporary notes and no-fund warrants</t>
  </si>
  <si>
    <t>7.  Motor Vehicle Allocation(mvalloc) are completed from information entered on the input pages (inputpryr and inputoth).  If figures appear to be wrong, do not correct the figures from here, but go to the input pages. The computed tables are linked to the appropriate funds.</t>
  </si>
  <si>
    <t>6. Instructions tab, changed #7 to remove slider column and computations</t>
  </si>
  <si>
    <t>11a. On all tax levy fund pages, we have placed 'Projected Carryover'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</si>
  <si>
    <r>
      <t xml:space="preserve">11b. On all tax levy fund page, we have placed 'Desired Carryover' which you can place a desired carryover amount and the table will show the mill rate impact along with the expenditure adjustments required to reach the desired carryover.  </t>
    </r>
    <r>
      <rPr>
        <sz val="12"/>
        <color indexed="10"/>
        <rFont val="Times New Roman"/>
        <family val="1"/>
      </rPr>
      <t>Note:</t>
    </r>
    <r>
      <rPr>
        <sz val="12"/>
        <rFont val="Times New Roman"/>
        <family val="1"/>
      </rPr>
      <t xml:space="preserve"> if a </t>
    </r>
    <r>
      <rPr>
        <sz val="12"/>
        <color indexed="10"/>
        <rFont val="Times New Roman"/>
        <family val="1"/>
      </rPr>
      <t>delinquency rate is used</t>
    </r>
    <r>
      <rPr>
        <sz val="12"/>
        <rFont val="Times New Roman"/>
        <family val="1"/>
      </rPr>
      <t>, the table might have you do several adjustments to get the desired result or close to the desire amount.</t>
    </r>
  </si>
  <si>
    <t>11c. On all tax levy fund pages, we have placed 'Mill Rate Comparison' table so you can compare the propose fund mill rate to the current fund mill rate and compare the total proposed mill rate to the total current mill rate. These figures are provided to assist with the determining appropriate mill rate for the proposed budgeted year.</t>
  </si>
  <si>
    <r>
      <t xml:space="preserve">11d.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</si>
  <si>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10.  Statement of Conditional Lease, Lease-Purchases and Certificate of Participation (debt)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</si>
  <si>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13b. The table 'Estimated Value Of One Mill' to show what 1 mill rate would generate in dollars for the municipality.  </t>
  </si>
  <si>
    <r>
      <t xml:space="preserve">13c. Tables 'What The Mill Rate The Same As' and 'Impact On Keeping The Same Mill Rate',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delinquency rate is used on the tax levy fund pages, the table might have you do several adjustments to get the desired result or close to the desire amount. </t>
    </r>
    <r>
      <rPr>
        <sz val="12"/>
        <color indexed="10"/>
        <rFont val="Times New Roman"/>
        <family val="1"/>
      </rPr>
      <t>Also please 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</si>
  <si>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 xml:space="preserve">13d. The table 'What Mill Rate Would Be Desired',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Note: If a delinquency rate used on the tax levy fund pages, the table might have you do several adjustments to get the desired result or close to the desire amount. Also please note, this table is not required to be used, but as a tool to assist in budgeting. </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</si>
  <si>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</si>
  <si>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</si>
  <si>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</si>
  <si>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</si>
  <si>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</si>
  <si>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</si>
  <si>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</si>
  <si>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</si>
  <si>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</si>
  <si>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</si>
  <si>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</si>
  <si>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</si>
  <si>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</si>
  <si>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</si>
  <si>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</si>
  <si>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</si>
  <si>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</si>
  <si>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</si>
  <si>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</si>
  <si>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</si>
  <si>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</si>
  <si>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</si>
  <si>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</si>
  <si>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</si>
  <si>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</si>
  <si>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</si>
  <si>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</si>
  <si>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</si>
  <si>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</si>
  <si>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</si>
  <si>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</si>
  <si>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</si>
  <si>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6b. Print the Resolution page (resolution) if the max levy is exceeded.  Complete the printed resolution and ensure to attached it to the budget.</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</si>
  <si>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</si>
  <si>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</si>
  <si>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</si>
  <si>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t xml:space="preserve">Comanche County </t>
  </si>
  <si>
    <t>Crowm Hill Cemetery</t>
  </si>
  <si>
    <t>Richard Beeley</t>
  </si>
  <si>
    <t>Commissioner's Room</t>
  </si>
  <si>
    <t xml:space="preserve">Riachard Beeley's Residence </t>
  </si>
  <si>
    <t>1:00 p.m.</t>
  </si>
  <si>
    <t xml:space="preserve">Sale of Lots </t>
  </si>
  <si>
    <t>Openings &amp; Closings</t>
  </si>
  <si>
    <t>Donations</t>
  </si>
  <si>
    <t>Reimbursements</t>
  </si>
  <si>
    <t xml:space="preserve">Interest Income </t>
  </si>
  <si>
    <t xml:space="preserve">Operations </t>
  </si>
  <si>
    <t>Mowing Wages</t>
  </si>
  <si>
    <t>Bank Charges, Accounting Fees, Office Supp.</t>
  </si>
  <si>
    <t>Qtrly IRS Estimates</t>
  </si>
  <si>
    <t>Ins., Workers Comp/Commercial</t>
  </si>
  <si>
    <t>195,91</t>
  </si>
  <si>
    <t>Wages</t>
  </si>
  <si>
    <t xml:space="preserve">CMS/Propane </t>
  </si>
  <si>
    <t>Opening Graves</t>
  </si>
  <si>
    <t>Fuel &amp; Repairs</t>
  </si>
  <si>
    <t>Worker's/Commercial</t>
  </si>
  <si>
    <t>Legal Notice/Accting Fees</t>
  </si>
  <si>
    <t>Engrave Final Dates</t>
  </si>
  <si>
    <r>
      <t>11h.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</si>
  <si>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11i.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</si>
  <si>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11j.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</si>
  <si>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7. Instructions tab, changed #13b to reflect all tax levy pages with 'Projected Carryover' table</t>
  </si>
  <si>
    <t>8. Instructions tab, changed #13c to reflect all tax levy pages with 'Desired Carryover' and warning about delinquency rate</t>
  </si>
  <si>
    <t>9. Instructions tab, added #13d for last year mill rate, proposed total mill rate, and last year total mill rate</t>
  </si>
  <si>
    <t>10. Instructions tab, changed #13e added that not signing the Budget Summary page will not require to be reprinted</t>
  </si>
  <si>
    <t xml:space="preserve">11. InputPrYr tab, added column for adjusting ad valorem taxes to reflect a better picture of actual taxes received, allow a rate to be used to compute the new amount, and links the new amounts to the appropriate fund page, if used, otherwise used the original amounts </t>
  </si>
  <si>
    <t>12. InputOth tab, section for Computation of Delinquency, change to % from rate and provided example, link to all tax levy fund page will show as %  vs rate</t>
  </si>
  <si>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</si>
  <si>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</si>
  <si>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</si>
  <si>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</si>
  <si>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</si>
  <si>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</si>
  <si>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</si>
  <si>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</si>
  <si>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</si>
  <si>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</si>
  <si>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</si>
  <si>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</si>
  <si>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</si>
  <si>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</si>
  <si>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</si>
  <si>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</si>
  <si>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</si>
  <si>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</si>
  <si>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</si>
  <si>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</si>
  <si>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</si>
  <si>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</si>
  <si>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</si>
  <si>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</si>
  <si>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</si>
  <si>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</si>
  <si>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</si>
  <si>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</si>
  <si>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</si>
  <si>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</si>
  <si>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</si>
  <si>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</si>
  <si>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</si>
  <si>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</si>
  <si>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</si>
  <si>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</si>
  <si>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</si>
  <si>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</si>
  <si>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</si>
  <si>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</si>
  <si>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</si>
  <si>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</si>
  <si>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</si>
  <si>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</si>
  <si>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</si>
  <si>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</si>
  <si>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</si>
  <si>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</si>
  <si>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</si>
  <si>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</si>
  <si>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</si>
  <si>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</si>
  <si>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</si>
  <si>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</si>
  <si>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</si>
  <si>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Outstanding Indebtedness,</t>
  </si>
  <si>
    <t>G.O. Bonds</t>
  </si>
  <si>
    <t>Revenue Bonds</t>
  </si>
  <si>
    <t xml:space="preserve">     Total</t>
  </si>
  <si>
    <t xml:space="preserve">  *Tax rates are expressed in mills.</t>
  </si>
  <si>
    <t>Date</t>
  </si>
  <si>
    <t xml:space="preserve">   Amount Due</t>
  </si>
  <si>
    <t>of</t>
  </si>
  <si>
    <t>Rate</t>
  </si>
  <si>
    <t xml:space="preserve">  Date Due</t>
  </si>
  <si>
    <t>Issue</t>
  </si>
  <si>
    <t>Issued</t>
  </si>
  <si>
    <t>Term</t>
  </si>
  <si>
    <t>Interest</t>
  </si>
  <si>
    <t>Principal</t>
  </si>
  <si>
    <t>Payments</t>
  </si>
  <si>
    <t xml:space="preserve">  Contract</t>
  </si>
  <si>
    <t>Contract</t>
  </si>
  <si>
    <t>Financed</t>
  </si>
  <si>
    <t>Due</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</si>
  <si>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</si>
  <si>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</si>
  <si>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</si>
  <si>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</si>
  <si>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</si>
  <si>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</si>
  <si>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</si>
  <si>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</si>
  <si>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</si>
  <si>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</si>
  <si>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</si>
  <si>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</si>
  <si>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</si>
  <si>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</si>
  <si>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</si>
  <si>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</si>
  <si>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</si>
  <si>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</si>
  <si>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</si>
  <si>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</si>
  <si>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</si>
  <si>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</si>
  <si>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</si>
  <si>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</si>
  <si>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</si>
  <si>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</si>
  <si>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</si>
  <si>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</si>
  <si>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</si>
  <si>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</si>
  <si>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</si>
  <si>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</si>
  <si>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</si>
  <si>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</si>
  <si>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</si>
  <si>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</si>
  <si>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</si>
  <si>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</si>
  <si>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</si>
  <si>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</si>
  <si>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</si>
  <si>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</si>
  <si>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</si>
  <si>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</si>
  <si>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</si>
  <si>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</si>
  <si>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</si>
  <si>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</si>
  <si>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</si>
  <si>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</si>
  <si>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</si>
  <si>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</si>
  <si>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</si>
  <si>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</si>
  <si>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</si>
  <si>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</si>
  <si>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</si>
  <si>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</si>
  <si>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</si>
  <si>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</si>
  <si>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Lease Pur. Princ.</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</si>
  <si>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</si>
  <si>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</si>
  <si>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</si>
  <si>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</si>
  <si>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</si>
  <si>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</si>
  <si>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</si>
  <si>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</si>
  <si>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</si>
  <si>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</si>
  <si>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</si>
  <si>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</si>
  <si>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</si>
  <si>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</si>
  <si>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</si>
  <si>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</si>
  <si>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  G.O. Bonds</t>
  </si>
  <si>
    <t xml:space="preserve">  Revenue Bonds</t>
  </si>
  <si>
    <t xml:space="preserve">  Lease Purchase Principal</t>
  </si>
  <si>
    <t xml:space="preserve">The input for the following comes directly from </t>
  </si>
  <si>
    <t>We, the undersigned, officers of</t>
  </si>
  <si>
    <t>10-113</t>
  </si>
  <si>
    <t>In Lieu of Tax (IRB)</t>
  </si>
  <si>
    <t>LAVTR</t>
  </si>
  <si>
    <t>Transfers</t>
  </si>
  <si>
    <t>Amount for</t>
  </si>
  <si>
    <t>Authorized by</t>
  </si>
  <si>
    <t>From:</t>
  </si>
  <si>
    <t>To:</t>
  </si>
  <si>
    <t xml:space="preserve"> Statute</t>
  </si>
  <si>
    <t>Adjusted Totals</t>
  </si>
  <si>
    <t xml:space="preserve">  Jan 1,</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</si>
  <si>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</si>
  <si>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</si>
  <si>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</si>
  <si>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</si>
  <si>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</si>
  <si>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</si>
  <si>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</si>
  <si>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</si>
  <si>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</si>
  <si>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</si>
  <si>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</si>
  <si>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</si>
  <si>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</si>
  <si>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</si>
  <si>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</si>
  <si>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</si>
  <si>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</si>
  <si>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</si>
  <si>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</si>
  <si>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</si>
  <si>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</si>
  <si>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</si>
  <si>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</si>
  <si>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</si>
  <si>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</si>
  <si>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</si>
  <si>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</si>
  <si>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</si>
  <si>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</si>
  <si>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</si>
  <si>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</si>
  <si>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</si>
  <si>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</si>
  <si>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</si>
  <si>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</si>
  <si>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</si>
  <si>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</si>
  <si>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</si>
  <si>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 xml:space="preserve">          the information on this input sheet.</t>
  </si>
  <si>
    <t>Enter the following information from the sources shown.  This information will be entered</t>
  </si>
  <si>
    <t>Outstanding Indebtedness, January 1:</t>
  </si>
  <si>
    <t>14. Added to instructions about non-appropriated funds limit of 5%.</t>
  </si>
  <si>
    <t>TOTAL</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</si>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</sst>
</file>

<file path=xl/styles.xml><?xml version="1.0" encoding="utf-8"?>
<styleSheet xmlns="http://schemas.openxmlformats.org/spreadsheetml/2006/main">
  <numFmts count="19">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 numFmtId="180" formatCode="0.0%"/>
  </numFmts>
  <fonts count="63">
    <font>
      <sz val="12"/>
      <name val="Courier"/>
    </font>
    <font>
      <b/>
      <sz val="12"/>
      <name val="Courier"/>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sz val="10"/>
      <name val="Times New Roman"/>
      <family val="1"/>
    </font>
    <font>
      <sz val="10"/>
      <color indexed="10"/>
      <name val="Times New Roman"/>
      <family val="1"/>
    </font>
    <font>
      <b/>
      <sz val="8"/>
      <color indexed="10"/>
      <name val="Times New Roman"/>
      <family val="1"/>
    </font>
    <font>
      <sz val="8"/>
      <color indexed="10"/>
      <name val="Times New Roman"/>
      <family val="1"/>
    </font>
    <font>
      <sz val="10"/>
      <color indexed="10"/>
      <name val="Times New Roman"/>
      <family val="1"/>
    </font>
    <font>
      <sz val="12"/>
      <color indexed="8"/>
      <name val="Times New Roman"/>
      <family val="1"/>
    </font>
    <font>
      <b/>
      <sz val="12"/>
      <color indexed="8"/>
      <name val="Times New Roman"/>
      <family val="1"/>
    </font>
    <font>
      <u/>
      <sz val="12"/>
      <color indexed="10"/>
      <name val="Times New Roman"/>
      <family val="1"/>
    </font>
    <font>
      <b/>
      <sz val="12"/>
      <color indexed="10"/>
      <name val="Times New Roman"/>
      <family val="1"/>
    </font>
    <font>
      <b/>
      <sz val="11"/>
      <color indexed="8"/>
      <name val="Cambria"/>
      <family val="1"/>
    </font>
    <font>
      <sz val="11"/>
      <color indexed="8"/>
      <name val="Cambria"/>
      <family val="1"/>
    </font>
    <font>
      <b/>
      <u/>
      <sz val="12"/>
      <color indexed="10"/>
      <name val="Times New Roman"/>
      <family val="1"/>
    </font>
    <font>
      <sz val="12"/>
      <color indexed="9"/>
      <name val="Courier"/>
      <family val="3"/>
    </font>
    <font>
      <sz val="12"/>
      <color indexed="9"/>
      <name val="Courier New"/>
      <family val="3"/>
    </font>
    <font>
      <sz val="8"/>
      <color indexed="9"/>
      <name val="Times New Roman"/>
      <family val="1"/>
    </font>
    <font>
      <sz val="12"/>
      <color indexed="9"/>
      <name val="Times New Roman"/>
      <family val="1"/>
    </font>
    <font>
      <sz val="10"/>
      <color indexed="10"/>
      <name val="Times New Roman"/>
      <family val="1"/>
    </font>
    <font>
      <b/>
      <sz val="10"/>
      <color indexed="10"/>
      <name val="Times New Roman"/>
      <family val="1"/>
    </font>
    <font>
      <sz val="11"/>
      <color theme="1"/>
      <name val="Calibri"/>
      <family val="2"/>
      <scheme val="minor"/>
    </font>
  </fonts>
  <fills count="12">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42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2"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cellStyleXfs>
  <cellXfs count="757">
    <xf numFmtId="0" fontId="0" fillId="0" borderId="0" xfId="0"/>
    <xf numFmtId="0" fontId="0" fillId="0" borderId="0" xfId="0" applyAlignment="1">
      <alignment vertical="top"/>
    </xf>
    <xf numFmtId="0" fontId="9" fillId="0" borderId="0" xfId="423"/>
    <xf numFmtId="0" fontId="6" fillId="0" borderId="0" xfId="423" applyFont="1"/>
    <xf numFmtId="0" fontId="6" fillId="0" borderId="0" xfId="423" applyFont="1" applyAlignment="1">
      <alignment horizontal="left" indent="1"/>
    </xf>
    <xf numFmtId="0" fontId="14" fillId="0" borderId="0" xfId="423"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423" applyFont="1" applyAlignment="1">
      <alignment horizontal="center"/>
    </xf>
    <xf numFmtId="0" fontId="3" fillId="0" borderId="0" xfId="423" applyFont="1" applyAlignment="1">
      <alignment horizontal="right"/>
    </xf>
    <xf numFmtId="0" fontId="6" fillId="2" borderId="0" xfId="423"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3" borderId="1" xfId="0" applyFont="1" applyFill="1" applyBorder="1" applyAlignment="1" applyProtection="1">
      <alignment horizontal="left" vertical="center"/>
    </xf>
    <xf numFmtId="0" fontId="3" fillId="4" borderId="1" xfId="0" applyFont="1" applyFill="1" applyBorder="1" applyAlignment="1" applyProtection="1">
      <alignment vertical="center"/>
      <protection locked="0"/>
    </xf>
    <xf numFmtId="3" fontId="3" fillId="4"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4" xfId="0" applyFont="1" applyFill="1" applyBorder="1" applyAlignment="1" applyProtection="1">
      <alignment horizontal="left" vertical="center"/>
    </xf>
    <xf numFmtId="0" fontId="3" fillId="3" borderId="4" xfId="0" applyFont="1" applyFill="1" applyBorder="1" applyAlignment="1" applyProtection="1">
      <alignment vertical="center"/>
    </xf>
    <xf numFmtId="3" fontId="3" fillId="3" borderId="5" xfId="0" applyNumberFormat="1" applyFont="1" applyFill="1" applyBorder="1" applyAlignment="1" applyProtection="1">
      <alignment vertical="center"/>
    </xf>
    <xf numFmtId="3" fontId="3" fillId="7" borderId="1"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1" xfId="0" applyNumberFormat="1" applyFont="1" applyFill="1" applyBorder="1" applyAlignment="1" applyProtection="1">
      <alignment vertical="center"/>
    </xf>
    <xf numFmtId="0" fontId="3" fillId="2" borderId="1" xfId="0" applyFont="1" applyFill="1" applyBorder="1" applyAlignment="1" applyProtection="1">
      <alignment vertical="center"/>
      <protection locked="0"/>
    </xf>
    <xf numFmtId="164" fontId="3" fillId="4" borderId="1"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4" xfId="0" applyNumberFormat="1" applyFont="1" applyFill="1" applyBorder="1" applyAlignment="1" applyProtection="1">
      <alignment vertical="center"/>
      <protection locked="0"/>
    </xf>
    <xf numFmtId="3" fontId="3" fillId="4" borderId="5"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3" borderId="4" xfId="0" applyFont="1" applyFill="1" applyBorder="1" applyAlignment="1" applyProtection="1">
      <alignment horizontal="center" vertical="center"/>
    </xf>
    <xf numFmtId="0" fontId="3" fillId="5" borderId="4" xfId="0" applyFont="1" applyFill="1" applyBorder="1" applyAlignment="1" applyProtection="1">
      <alignment vertical="center"/>
    </xf>
    <xf numFmtId="0" fontId="3" fillId="3" borderId="6" xfId="0" applyFont="1" applyFill="1" applyBorder="1" applyAlignment="1" applyProtection="1">
      <alignment vertical="center"/>
      <protection locked="0"/>
    </xf>
    <xf numFmtId="3" fontId="3" fillId="2" borderId="1" xfId="0" applyNumberFormat="1" applyFont="1" applyFill="1" applyBorder="1" applyAlignment="1" applyProtection="1">
      <alignment vertical="center"/>
      <protection locked="0"/>
    </xf>
    <xf numFmtId="0" fontId="3" fillId="5" borderId="5" xfId="0"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4" xfId="0" applyNumberFormat="1" applyFont="1" applyFill="1" applyBorder="1" applyAlignment="1" applyProtection="1">
      <alignment horizontal="left" vertical="center"/>
    </xf>
    <xf numFmtId="37" fontId="3" fillId="3" borderId="5" xfId="0" applyNumberFormat="1" applyFont="1" applyFill="1" applyBorder="1" applyAlignment="1" applyProtection="1">
      <alignment horizontal="left" vertical="center"/>
    </xf>
    <xf numFmtId="0" fontId="3" fillId="3" borderId="5" xfId="0" applyFont="1" applyFill="1" applyBorder="1" applyAlignment="1" applyProtection="1">
      <alignment vertical="center"/>
    </xf>
    <xf numFmtId="37" fontId="3" fillId="2" borderId="5"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4" xfId="0" applyNumberFormat="1" applyFont="1" applyFill="1" applyBorder="1" applyAlignment="1" applyProtection="1">
      <alignment vertical="center"/>
      <protection locked="0"/>
    </xf>
    <xf numFmtId="174" fontId="3" fillId="2" borderId="5"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1" xfId="0" applyNumberFormat="1" applyFont="1" applyFill="1" applyBorder="1" applyAlignment="1" applyProtection="1">
      <alignment vertical="center"/>
    </xf>
    <xf numFmtId="0" fontId="0" fillId="3" borderId="4"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1"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5" fillId="3" borderId="0" xfId="0" applyFont="1" applyFill="1" applyAlignment="1" applyProtection="1">
      <alignment horizontal="center"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2"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4" xfId="0" applyFont="1" applyFill="1" applyBorder="1" applyAlignment="1" applyProtection="1">
      <alignment horizontal="fill" vertical="center"/>
    </xf>
    <xf numFmtId="0" fontId="3" fillId="3" borderId="3"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1"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3"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1"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1" xfId="0" applyNumberFormat="1" applyFont="1" applyFill="1" applyBorder="1" applyAlignment="1" applyProtection="1">
      <alignment horizontal="center"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1"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164" fontId="3" fillId="3" borderId="2"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1"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1"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5" xfId="0" applyFill="1" applyBorder="1" applyAlignment="1">
      <alignment vertical="center"/>
    </xf>
    <xf numFmtId="0" fontId="0" fillId="3" borderId="8" xfId="0" applyFill="1" applyBorder="1" applyAlignment="1">
      <alignment vertical="center"/>
    </xf>
    <xf numFmtId="0" fontId="3" fillId="10" borderId="1" xfId="0" applyFont="1" applyFill="1" applyBorder="1" applyAlignment="1">
      <alignment horizontal="center" vertical="center" shrinkToFit="1"/>
    </xf>
    <xf numFmtId="0" fontId="3" fillId="3" borderId="5"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1" xfId="1" applyNumberFormat="1"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5" xfId="0" applyNumberFormat="1" applyFont="1" applyFill="1" applyBorder="1" applyAlignment="1" applyProtection="1">
      <alignment vertical="center"/>
    </xf>
    <xf numFmtId="3" fontId="3" fillId="3" borderId="4"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4"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4"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37" fontId="3" fillId="3" borderId="4" xfId="0" applyNumberFormat="1" applyFont="1" applyFill="1" applyBorder="1" applyAlignment="1" applyProtection="1">
      <alignment vertical="center"/>
    </xf>
    <xf numFmtId="166" fontId="3" fillId="7" borderId="4"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4"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1" fontId="3" fillId="3" borderId="3"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3" xfId="0"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3" fontId="3" fillId="7" borderId="1"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right" vertical="center"/>
    </xf>
    <xf numFmtId="0" fontId="3" fillId="2" borderId="1"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422" applyFont="1" applyFill="1" applyAlignment="1" applyProtection="1">
      <alignment horizontal="centerContinuous" vertical="center"/>
    </xf>
    <xf numFmtId="0" fontId="3" fillId="3" borderId="0" xfId="421" applyFont="1" applyFill="1" applyAlignment="1" applyProtection="1">
      <alignment horizontal="centerContinuous" vertical="center"/>
    </xf>
    <xf numFmtId="0" fontId="3" fillId="0" borderId="0" xfId="421" applyFont="1" applyAlignment="1" applyProtection="1">
      <alignment vertical="center"/>
      <protection locked="0"/>
    </xf>
    <xf numFmtId="0" fontId="3" fillId="3" borderId="0" xfId="421"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14" fontId="3" fillId="3" borderId="3" xfId="0" quotePrefix="1" applyNumberFormat="1" applyFont="1" applyFill="1" applyBorder="1" applyAlignment="1" applyProtection="1">
      <alignment horizontal="center" vertical="center"/>
    </xf>
    <xf numFmtId="170" fontId="3" fillId="3" borderId="1" xfId="0" applyNumberFormat="1" applyFont="1" applyFill="1" applyBorder="1" applyAlignment="1" applyProtection="1">
      <alignment horizontal="left" vertical="center"/>
    </xf>
    <xf numFmtId="171" fontId="3" fillId="3" borderId="1" xfId="0" applyNumberFormat="1"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171" fontId="3" fillId="2" borderId="1" xfId="0" applyNumberFormat="1" applyFont="1" applyFill="1" applyBorder="1" applyAlignment="1" applyProtection="1">
      <alignment horizontal="left" vertical="center"/>
      <protection locked="0"/>
    </xf>
    <xf numFmtId="2" fontId="3" fillId="4" borderId="1" xfId="0" applyNumberFormat="1" applyFont="1" applyFill="1" applyBorder="1" applyAlignment="1" applyProtection="1">
      <alignment vertical="center"/>
      <protection locked="0"/>
    </xf>
    <xf numFmtId="171" fontId="3" fillId="4" borderId="1" xfId="0" applyNumberFormat="1" applyFont="1" applyFill="1" applyBorder="1" applyAlignment="1" applyProtection="1">
      <alignment vertical="center"/>
      <protection locked="0"/>
    </xf>
    <xf numFmtId="37" fontId="3" fillId="4"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170" fontId="3" fillId="3" borderId="1" xfId="0" applyNumberFormat="1" applyFont="1" applyFill="1" applyBorder="1" applyAlignment="1" applyProtection="1">
      <alignment vertical="center"/>
      <protection locked="0"/>
    </xf>
    <xf numFmtId="2" fontId="3" fillId="3" borderId="1" xfId="0" applyNumberFormat="1" applyFont="1" applyFill="1" applyBorder="1" applyAlignment="1" applyProtection="1">
      <alignment vertical="center"/>
      <protection locked="0"/>
    </xf>
    <xf numFmtId="3" fontId="3" fillId="3" borderId="1" xfId="0" applyNumberFormat="1" applyFont="1" applyFill="1" applyBorder="1" applyAlignment="1" applyProtection="1">
      <alignment vertical="center"/>
      <protection locked="0"/>
    </xf>
    <xf numFmtId="37" fontId="3" fillId="7" borderId="1" xfId="0" applyNumberFormat="1" applyFont="1" applyFill="1" applyBorder="1" applyAlignment="1" applyProtection="1">
      <alignment vertical="center"/>
    </xf>
    <xf numFmtId="171" fontId="3" fillId="3" borderId="1" xfId="0" applyNumberFormat="1" applyFont="1" applyFill="1" applyBorder="1" applyAlignment="1" applyProtection="1">
      <alignment vertical="center"/>
    </xf>
    <xf numFmtId="170" fontId="3" fillId="3" borderId="1" xfId="0" applyNumberFormat="1" applyFont="1" applyFill="1" applyBorder="1" applyAlignment="1" applyProtection="1">
      <alignment vertical="center"/>
    </xf>
    <xf numFmtId="2" fontId="3" fillId="3" borderId="1" xfId="0" applyNumberFormat="1" applyFont="1" applyFill="1" applyBorder="1" applyAlignment="1" applyProtection="1">
      <alignment vertical="center"/>
    </xf>
    <xf numFmtId="0" fontId="3" fillId="3" borderId="1" xfId="421" applyFont="1" applyFill="1" applyBorder="1" applyAlignment="1" applyProtection="1">
      <alignment horizontal="left" vertical="center"/>
    </xf>
    <xf numFmtId="37" fontId="4" fillId="7" borderId="1" xfId="421" applyNumberFormat="1" applyFont="1" applyFill="1" applyBorder="1" applyAlignment="1" applyProtection="1">
      <alignment vertical="center"/>
    </xf>
    <xf numFmtId="0" fontId="3" fillId="3" borderId="0" xfId="422" applyFont="1" applyFill="1" applyAlignment="1" applyProtection="1">
      <alignment horizontal="centerContinuous" vertical="center"/>
    </xf>
    <xf numFmtId="0" fontId="3" fillId="3" borderId="0" xfId="422" applyFont="1" applyFill="1" applyAlignment="1" applyProtection="1">
      <alignment vertical="center"/>
    </xf>
    <xf numFmtId="0" fontId="3" fillId="0" borderId="0" xfId="422" applyFont="1" applyAlignment="1">
      <alignment vertical="center"/>
    </xf>
    <xf numFmtId="0" fontId="3" fillId="3" borderId="2" xfId="0" applyFont="1" applyFill="1" applyBorder="1" applyAlignment="1" applyProtection="1">
      <alignment vertical="center"/>
    </xf>
    <xf numFmtId="0" fontId="3" fillId="3" borderId="17" xfId="422" applyFont="1" applyFill="1" applyBorder="1" applyAlignment="1" applyProtection="1">
      <alignment vertical="center"/>
    </xf>
    <xf numFmtId="0" fontId="3" fillId="3" borderId="0" xfId="422" applyFont="1" applyFill="1" applyBorder="1" applyAlignment="1" applyProtection="1">
      <alignment vertical="center"/>
    </xf>
    <xf numFmtId="0" fontId="3" fillId="3" borderId="10" xfId="0" applyFont="1" applyFill="1" applyBorder="1" applyAlignment="1" applyProtection="1">
      <alignment vertical="center"/>
    </xf>
    <xf numFmtId="0" fontId="6" fillId="3" borderId="3" xfId="0" applyFont="1" applyFill="1" applyBorder="1" applyAlignment="1" applyProtection="1">
      <alignment horizontal="center" vertical="center"/>
    </xf>
    <xf numFmtId="1" fontId="3" fillId="4" borderId="1" xfId="0" applyNumberFormat="1" applyFont="1" applyFill="1" applyBorder="1" applyAlignment="1" applyProtection="1">
      <alignment vertical="center"/>
      <protection locked="0"/>
    </xf>
    <xf numFmtId="0" fontId="3" fillId="3" borderId="9" xfId="421" applyFont="1" applyFill="1" applyBorder="1" applyAlignment="1" applyProtection="1">
      <alignment vertical="center"/>
      <protection locked="0"/>
    </xf>
    <xf numFmtId="3" fontId="4" fillId="3" borderId="1" xfId="421" applyNumberFormat="1" applyFont="1" applyFill="1" applyBorder="1" applyAlignment="1" applyProtection="1">
      <alignment vertical="center"/>
    </xf>
    <xf numFmtId="37" fontId="4" fillId="3" borderId="1" xfId="421" applyNumberFormat="1" applyFont="1" applyFill="1" applyBorder="1" applyAlignment="1" applyProtection="1">
      <alignment vertical="center"/>
    </xf>
    <xf numFmtId="0" fontId="3" fillId="9" borderId="0" xfId="421" applyFont="1" applyFill="1" applyAlignment="1" applyProtection="1">
      <alignment vertical="center"/>
      <protection locked="0"/>
    </xf>
    <xf numFmtId="165" fontId="3" fillId="3" borderId="0" xfId="0" applyNumberFormat="1" applyFont="1" applyFill="1" applyAlignment="1" applyProtection="1">
      <alignment vertical="center"/>
    </xf>
    <xf numFmtId="37" fontId="3" fillId="3" borderId="2"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1" xfId="0" applyNumberFormat="1" applyFont="1" applyFill="1" applyBorder="1" applyAlignment="1" applyProtection="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Border="1" applyAlignment="1" applyProtection="1">
      <alignment vertical="center"/>
    </xf>
    <xf numFmtId="3" fontId="3" fillId="3" borderId="1"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fill" vertical="center"/>
    </xf>
    <xf numFmtId="3" fontId="3" fillId="4" borderId="1" xfId="0" applyNumberFormat="1" applyFont="1" applyFill="1" applyBorder="1" applyAlignment="1" applyProtection="1">
      <alignment horizontal="right" vertical="center"/>
      <protection locked="0"/>
    </xf>
    <xf numFmtId="3" fontId="3" fillId="3" borderId="1"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1"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3" xfId="0" applyNumberFormat="1" applyFont="1" applyFill="1" applyBorder="1" applyAlignment="1" applyProtection="1">
      <alignment horizontal="right" vertical="center"/>
    </xf>
    <xf numFmtId="3" fontId="4" fillId="7" borderId="1"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2"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4" xfId="0" applyFont="1" applyFill="1" applyBorder="1" applyAlignment="1">
      <alignment vertical="center"/>
    </xf>
    <xf numFmtId="0" fontId="25" fillId="3" borderId="2"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25" fillId="3" borderId="13" xfId="0" applyFont="1" applyFill="1" applyBorder="1" applyAlignment="1">
      <alignment vertical="center"/>
    </xf>
    <xf numFmtId="3" fontId="25" fillId="2" borderId="1" xfId="0" applyNumberFormat="1" applyFont="1" applyFill="1" applyBorder="1" applyAlignment="1" applyProtection="1">
      <alignment horizontal="center" vertical="center"/>
      <protection locked="0"/>
    </xf>
    <xf numFmtId="0" fontId="25" fillId="3" borderId="4" xfId="0" applyFont="1" applyFill="1" applyBorder="1" applyAlignment="1">
      <alignment vertical="center"/>
    </xf>
    <xf numFmtId="3" fontId="25" fillId="7" borderId="1"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1"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3"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3"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1" xfId="0" applyFont="1" applyFill="1" applyBorder="1" applyAlignment="1" applyProtection="1">
      <alignment horizontal="centerContinuous" vertical="center"/>
    </xf>
    <xf numFmtId="0" fontId="3" fillId="3" borderId="5"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1" xfId="0" applyNumberFormat="1" applyFont="1" applyFill="1" applyBorder="1" applyAlignment="1" applyProtection="1">
      <alignment horizontal="center" vertical="center"/>
    </xf>
    <xf numFmtId="37" fontId="3" fillId="7" borderId="7" xfId="0" applyNumberFormat="1" applyFont="1" applyFill="1" applyBorder="1" applyAlignment="1" applyProtection="1">
      <alignment horizontal="center" vertical="center"/>
    </xf>
    <xf numFmtId="165" fontId="3" fillId="3" borderId="0" xfId="0" applyNumberFormat="1" applyFont="1" applyFill="1" applyAlignment="1" applyProtection="1">
      <alignment vertical="center"/>
      <protection locked="0"/>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37" fontId="3" fillId="3" borderId="1" xfId="0" applyNumberFormat="1" applyFont="1" applyFill="1" applyBorder="1" applyAlignment="1" applyProtection="1">
      <alignment horizontal="left" vertical="center"/>
    </xf>
    <xf numFmtId="3" fontId="3" fillId="2" borderId="1" xfId="0" applyNumberFormat="1" applyFont="1" applyFill="1" applyBorder="1" applyAlignment="1" applyProtection="1">
      <alignment horizontal="center" vertical="center"/>
      <protection locked="0"/>
    </xf>
    <xf numFmtId="175" fontId="3" fillId="3" borderId="1"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4" xfId="0" applyNumberFormat="1" applyFont="1" applyFill="1" applyBorder="1" applyAlignment="1" applyProtection="1">
      <alignment horizontal="center" vertical="center"/>
    </xf>
    <xf numFmtId="175" fontId="3" fillId="3" borderId="4"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4" xfId="0" applyNumberFormat="1" applyFont="1" applyFill="1" applyBorder="1" applyAlignment="1">
      <alignment horizontal="center" vertical="center"/>
    </xf>
    <xf numFmtId="0" fontId="0" fillId="3" borderId="0" xfId="0" applyFill="1" applyAlignment="1">
      <alignment horizontal="center" vertical="center"/>
    </xf>
    <xf numFmtId="0" fontId="3" fillId="3" borderId="4"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103" applyFont="1" applyAlignment="1">
      <alignment vertical="center" wrapText="1"/>
    </xf>
    <xf numFmtId="0" fontId="3" fillId="0" borderId="0" xfId="350" applyNumberFormat="1" applyFont="1" applyAlignment="1">
      <alignment vertical="center" wrapText="1"/>
    </xf>
    <xf numFmtId="0" fontId="3" fillId="0" borderId="0" xfId="227" applyFont="1" applyAlignment="1">
      <alignment vertical="center" wrapText="1"/>
    </xf>
    <xf numFmtId="0" fontId="3" fillId="0" borderId="0" xfId="383" applyFont="1" applyAlignment="1">
      <alignment vertical="center" wrapText="1"/>
    </xf>
    <xf numFmtId="0" fontId="50" fillId="0" borderId="0" xfId="0" applyFont="1" applyAlignment="1">
      <alignment vertical="center" wrapText="1"/>
    </xf>
    <xf numFmtId="0" fontId="32" fillId="0" borderId="0" xfId="395" applyFont="1"/>
    <xf numFmtId="0" fontId="9" fillId="0" borderId="0" xfId="395" applyNumberFormat="1" applyFont="1" applyAlignment="1">
      <alignment horizontal="left" vertical="center"/>
    </xf>
    <xf numFmtId="0" fontId="3" fillId="0" borderId="0" xfId="395" applyFont="1" applyAlignment="1">
      <alignment horizontal="left" vertical="center"/>
    </xf>
    <xf numFmtId="49" fontId="3" fillId="2" borderId="0" xfId="395" applyNumberFormat="1" applyFont="1" applyFill="1" applyAlignment="1" applyProtection="1">
      <alignment horizontal="left" vertical="center"/>
      <protection locked="0"/>
    </xf>
    <xf numFmtId="176" fontId="25" fillId="0" borderId="0" xfId="395" applyNumberFormat="1" applyFont="1" applyAlignment="1">
      <alignment horizontal="left" vertical="center"/>
    </xf>
    <xf numFmtId="49" fontId="3" fillId="0" borderId="0" xfId="395" applyNumberFormat="1" applyFont="1" applyAlignment="1">
      <alignment horizontal="left" vertical="center"/>
    </xf>
    <xf numFmtId="0" fontId="25" fillId="0" borderId="0" xfId="395" applyFont="1" applyAlignment="1">
      <alignment horizontal="left" vertical="center"/>
    </xf>
    <xf numFmtId="177" fontId="25" fillId="0" borderId="0" xfId="395" applyNumberFormat="1" applyFont="1" applyAlignment="1">
      <alignment horizontal="left" vertical="center"/>
    </xf>
    <xf numFmtId="0" fontId="3" fillId="2" borderId="0" xfId="395" applyFont="1" applyFill="1" applyAlignment="1" applyProtection="1">
      <alignment horizontal="left" vertical="center"/>
      <protection locked="0"/>
    </xf>
    <xf numFmtId="0" fontId="32" fillId="2" borderId="0" xfId="395" applyFont="1" applyFill="1" applyAlignment="1" applyProtection="1">
      <alignment horizontal="left" vertical="center"/>
      <protection locked="0"/>
    </xf>
    <xf numFmtId="0" fontId="2" fillId="0" borderId="0" xfId="175" applyFont="1"/>
    <xf numFmtId="0" fontId="2" fillId="0" borderId="0" xfId="175" applyFont="1" applyFill="1"/>
    <xf numFmtId="0" fontId="0" fillId="0" borderId="0" xfId="0" applyAlignment="1"/>
    <xf numFmtId="0" fontId="5" fillId="0" borderId="0" xfId="77" applyFont="1" applyAlignment="1">
      <alignment vertical="center"/>
    </xf>
    <xf numFmtId="0" fontId="3" fillId="0" borderId="0" xfId="81"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3" fontId="3" fillId="7" borderId="4" xfId="0" applyNumberFormat="1" applyFont="1" applyFill="1" applyBorder="1" applyAlignment="1" applyProtection="1">
      <alignment vertical="center"/>
    </xf>
    <xf numFmtId="0" fontId="3" fillId="3" borderId="0" xfId="0" applyFont="1" applyFill="1"/>
    <xf numFmtId="0" fontId="5" fillId="0" borderId="0" xfId="76" applyFont="1" applyAlignment="1">
      <alignment vertical="center"/>
    </xf>
    <xf numFmtId="0" fontId="51"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1" xfId="0" applyNumberFormat="1" applyFont="1" applyFill="1" applyBorder="1" applyAlignment="1" applyProtection="1">
      <alignment horizontal="left" vertical="center"/>
      <protection locked="0"/>
    </xf>
    <xf numFmtId="14" fontId="3" fillId="4" borderId="1" xfId="0" applyNumberFormat="1" applyFont="1" applyFill="1" applyBorder="1" applyAlignment="1" applyProtection="1">
      <alignment vertical="center"/>
      <protection locked="0"/>
    </xf>
    <xf numFmtId="0" fontId="3" fillId="3" borderId="0" xfId="0" applyFont="1" applyFill="1" applyBorder="1" applyAlignment="1">
      <alignment horizontal="center" vertical="center" shrinkToFit="1"/>
    </xf>
    <xf numFmtId="0" fontId="21" fillId="10" borderId="12"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52" fillId="3" borderId="0" xfId="0" applyFont="1" applyFill="1" applyAlignment="1" applyProtection="1">
      <alignment horizontal="center" vertical="center"/>
    </xf>
    <xf numFmtId="3" fontId="21" fillId="10" borderId="1" xfId="0" applyNumberFormat="1" applyFont="1" applyFill="1" applyBorder="1" applyAlignment="1" applyProtection="1">
      <alignment horizontal="center" vertical="center"/>
    </xf>
    <xf numFmtId="37" fontId="3" fillId="3" borderId="1"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1"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3" fillId="4" borderId="1" xfId="0" applyFont="1" applyFill="1" applyBorder="1" applyAlignment="1" applyProtection="1">
      <alignment horizontal="center" vertical="center"/>
      <protection locked="0"/>
    </xf>
    <xf numFmtId="0" fontId="37" fillId="8" borderId="0" xfId="0" applyFont="1" applyFill="1"/>
    <xf numFmtId="0" fontId="37" fillId="0" borderId="0" xfId="0" applyFont="1"/>
    <xf numFmtId="0" fontId="37" fillId="3" borderId="0" xfId="0" applyFont="1" applyFill="1"/>
    <xf numFmtId="0" fontId="53" fillId="8" borderId="0" xfId="0" applyFont="1" applyFill="1" applyAlignment="1">
      <alignment horizontal="center" wrapText="1"/>
    </xf>
    <xf numFmtId="0" fontId="53" fillId="3" borderId="0" xfId="0" applyFont="1" applyFill="1"/>
    <xf numFmtId="0" fontId="37" fillId="3" borderId="0" xfId="0" applyFont="1" applyFill="1" applyAlignment="1">
      <alignment horizontal="center"/>
    </xf>
    <xf numFmtId="0" fontId="53" fillId="3" borderId="18" xfId="0" applyFont="1" applyFill="1" applyBorder="1"/>
    <xf numFmtId="0" fontId="37" fillId="3" borderId="19" xfId="0" applyFont="1" applyFill="1" applyBorder="1"/>
    <xf numFmtId="0" fontId="37" fillId="3" borderId="20" xfId="0" applyFont="1" applyFill="1" applyBorder="1"/>
    <xf numFmtId="178" fontId="37" fillId="3" borderId="21" xfId="0" applyNumberFormat="1" applyFont="1" applyFill="1" applyBorder="1"/>
    <xf numFmtId="0" fontId="37" fillId="3" borderId="0" xfId="0" applyFont="1" applyFill="1" applyBorder="1"/>
    <xf numFmtId="178" fontId="37" fillId="3" borderId="4" xfId="0" applyNumberFormat="1" applyFont="1" applyFill="1" applyBorder="1" applyAlignment="1">
      <alignment horizontal="center"/>
    </xf>
    <xf numFmtId="0" fontId="37" fillId="3" borderId="22" xfId="0" applyFont="1" applyFill="1" applyBorder="1"/>
    <xf numFmtId="0" fontId="37" fillId="3" borderId="23" xfId="0" applyFont="1" applyFill="1" applyBorder="1"/>
    <xf numFmtId="0" fontId="37" fillId="3" borderId="24" xfId="0" applyFont="1" applyFill="1" applyBorder="1"/>
    <xf numFmtId="0" fontId="37" fillId="3" borderId="25" xfId="0" applyFont="1" applyFill="1" applyBorder="1"/>
    <xf numFmtId="178" fontId="37" fillId="3" borderId="0" xfId="0" applyNumberFormat="1" applyFont="1" applyFill="1"/>
    <xf numFmtId="0" fontId="37" fillId="3" borderId="18" xfId="0" applyFont="1" applyFill="1" applyBorder="1"/>
    <xf numFmtId="0" fontId="37" fillId="3" borderId="26" xfId="0" applyFont="1" applyFill="1" applyBorder="1"/>
    <xf numFmtId="178" fontId="37" fillId="2" borderId="21" xfId="0" applyNumberFormat="1" applyFont="1" applyFill="1" applyBorder="1" applyAlignment="1" applyProtection="1">
      <alignment horizontal="center"/>
      <protection locked="0"/>
    </xf>
    <xf numFmtId="175" fontId="37" fillId="3" borderId="0" xfId="0" applyNumberFormat="1" applyFont="1" applyFill="1" applyBorder="1" applyAlignment="1">
      <alignment horizontal="center"/>
    </xf>
    <xf numFmtId="178" fontId="37" fillId="0" borderId="0" xfId="0" applyNumberFormat="1" applyFont="1"/>
    <xf numFmtId="0" fontId="54" fillId="0" borderId="0" xfId="0" applyFont="1" applyBorder="1"/>
    <xf numFmtId="0" fontId="37" fillId="0" borderId="0" xfId="0" applyFont="1" applyBorder="1"/>
    <xf numFmtId="0" fontId="53" fillId="0" borderId="0" xfId="0" applyFont="1" applyBorder="1" applyAlignment="1">
      <alignment horizontal="centerContinuous"/>
    </xf>
    <xf numFmtId="0" fontId="37" fillId="0" borderId="0" xfId="0" applyFont="1" applyBorder="1" applyAlignment="1">
      <alignment horizontal="centerContinuous"/>
    </xf>
    <xf numFmtId="0" fontId="37" fillId="8" borderId="0" xfId="0" applyFont="1" applyFill="1" applyBorder="1"/>
    <xf numFmtId="0" fontId="37" fillId="3" borderId="27" xfId="0" applyFont="1" applyFill="1" applyBorder="1"/>
    <xf numFmtId="0" fontId="37" fillId="3" borderId="9" xfId="0" applyFont="1" applyFill="1" applyBorder="1"/>
    <xf numFmtId="0" fontId="37" fillId="3" borderId="28" xfId="0" applyFont="1" applyFill="1" applyBorder="1"/>
    <xf numFmtId="5" fontId="37" fillId="3" borderId="24" xfId="0" applyNumberFormat="1" applyFont="1" applyFill="1" applyBorder="1" applyAlignment="1">
      <alignment horizontal="center"/>
    </xf>
    <xf numFmtId="0" fontId="37" fillId="3" borderId="24" xfId="0" applyFont="1" applyFill="1" applyBorder="1" applyAlignment="1">
      <alignment horizontal="center"/>
    </xf>
    <xf numFmtId="175" fontId="37" fillId="3" borderId="24" xfId="0" applyNumberFormat="1" applyFont="1" applyFill="1" applyBorder="1" applyAlignment="1">
      <alignment horizontal="center"/>
    </xf>
    <xf numFmtId="179" fontId="37" fillId="3" borderId="24" xfId="0" applyNumberFormat="1" applyFont="1" applyFill="1" applyBorder="1" applyAlignment="1">
      <alignment horizontal="center"/>
    </xf>
    <xf numFmtId="0" fontId="37" fillId="3" borderId="0" xfId="0" applyFont="1" applyFill="1" applyAlignment="1">
      <alignment horizontal="center" wrapText="1"/>
    </xf>
    <xf numFmtId="0" fontId="53" fillId="3" borderId="18" xfId="0" applyFont="1" applyFill="1" applyBorder="1" applyAlignment="1"/>
    <xf numFmtId="0" fontId="37" fillId="3" borderId="19" xfId="0" applyFont="1" applyFill="1" applyBorder="1" applyAlignment="1"/>
    <xf numFmtId="0" fontId="37" fillId="3" borderId="20" xfId="0" applyFont="1" applyFill="1" applyBorder="1" applyAlignment="1"/>
    <xf numFmtId="0" fontId="37" fillId="3" borderId="26" xfId="0" applyFont="1" applyFill="1" applyBorder="1" applyAlignment="1"/>
    <xf numFmtId="0" fontId="37" fillId="3" borderId="22" xfId="0" applyFont="1" applyFill="1" applyBorder="1" applyAlignment="1"/>
    <xf numFmtId="0" fontId="37" fillId="3" borderId="27" xfId="0" applyFont="1" applyFill="1" applyBorder="1" applyAlignment="1"/>
    <xf numFmtId="0" fontId="37" fillId="3" borderId="9" xfId="0" applyFont="1" applyFill="1" applyBorder="1" applyAlignment="1"/>
    <xf numFmtId="0" fontId="37" fillId="3" borderId="28" xfId="0" applyFont="1" applyFill="1" applyBorder="1" applyAlignment="1"/>
    <xf numFmtId="174" fontId="37" fillId="3" borderId="0" xfId="0" applyNumberFormat="1" applyFont="1" applyFill="1" applyBorder="1" applyAlignment="1">
      <alignment horizontal="center"/>
    </xf>
    <xf numFmtId="0" fontId="37" fillId="3" borderId="23" xfId="0" applyFont="1" applyFill="1" applyBorder="1" applyAlignment="1"/>
    <xf numFmtId="5" fontId="37" fillId="3" borderId="0" xfId="0" applyNumberFormat="1" applyFont="1" applyFill="1" applyBorder="1" applyAlignment="1">
      <alignment horizontal="center"/>
    </xf>
    <xf numFmtId="0" fontId="37" fillId="8" borderId="0" xfId="0" applyFont="1" applyFill="1" applyAlignment="1"/>
    <xf numFmtId="175" fontId="37" fillId="2" borderId="4" xfId="0" applyNumberFormat="1" applyFont="1" applyFill="1" applyBorder="1" applyAlignment="1" applyProtection="1">
      <alignment horizontal="center"/>
      <protection locked="0"/>
    </xf>
    <xf numFmtId="179" fontId="37" fillId="3" borderId="0" xfId="0" applyNumberFormat="1" applyFont="1" applyFill="1" applyBorder="1"/>
    <xf numFmtId="178" fontId="37" fillId="3" borderId="24" xfId="0" applyNumberFormat="1" applyFont="1" applyFill="1" applyBorder="1" applyAlignment="1">
      <alignment horizontal="center"/>
    </xf>
    <xf numFmtId="175" fontId="37" fillId="3" borderId="24" xfId="0" applyNumberFormat="1" applyFont="1" applyFill="1" applyBorder="1" applyAlignment="1" applyProtection="1">
      <alignment horizontal="center"/>
      <protection locked="0"/>
    </xf>
    <xf numFmtId="179" fontId="37" fillId="3" borderId="24" xfId="0" applyNumberFormat="1" applyFont="1" applyFill="1" applyBorder="1"/>
    <xf numFmtId="0" fontId="53" fillId="3" borderId="26" xfId="0" applyFont="1" applyFill="1" applyBorder="1" applyAlignment="1">
      <alignment horizontal="centerContinuous" vertical="center"/>
    </xf>
    <xf numFmtId="178" fontId="53" fillId="3" borderId="0" xfId="0" applyNumberFormat="1" applyFont="1" applyFill="1" applyBorder="1" applyAlignment="1">
      <alignment horizontal="centerContinuous" vertical="center"/>
    </xf>
    <xf numFmtId="0" fontId="53" fillId="3" borderId="0" xfId="0" applyFont="1" applyFill="1" applyBorder="1" applyAlignment="1">
      <alignment horizontal="centerContinuous" vertical="center"/>
    </xf>
    <xf numFmtId="175" fontId="53" fillId="3" borderId="0" xfId="0" applyNumberFormat="1" applyFont="1" applyFill="1" applyBorder="1" applyAlignment="1" applyProtection="1">
      <alignment horizontal="centerContinuous" vertical="center"/>
      <protection locked="0"/>
    </xf>
    <xf numFmtId="179" fontId="53" fillId="3" borderId="0" xfId="0" applyNumberFormat="1" applyFont="1" applyFill="1" applyBorder="1" applyAlignment="1">
      <alignment horizontal="centerContinuous" vertical="center"/>
    </xf>
    <xf numFmtId="0" fontId="53" fillId="3" borderId="22" xfId="0" applyFont="1" applyFill="1" applyBorder="1" applyAlignment="1">
      <alignment horizontal="centerContinuous" vertical="center"/>
    </xf>
    <xf numFmtId="0" fontId="53" fillId="3" borderId="26" xfId="0" applyFont="1" applyFill="1" applyBorder="1" applyAlignment="1">
      <alignment horizontal="centerContinuous"/>
    </xf>
    <xf numFmtId="178" fontId="53" fillId="3" borderId="0" xfId="0" applyNumberFormat="1" applyFont="1" applyFill="1" applyBorder="1" applyAlignment="1">
      <alignment horizontal="centerContinuous"/>
    </xf>
    <xf numFmtId="0" fontId="53" fillId="3" borderId="0" xfId="0" applyFont="1" applyFill="1" applyBorder="1" applyAlignment="1">
      <alignment horizontal="centerContinuous"/>
    </xf>
    <xf numFmtId="175" fontId="53" fillId="3" borderId="0" xfId="0" applyNumberFormat="1" applyFont="1" applyFill="1" applyBorder="1" applyAlignment="1" applyProtection="1">
      <alignment horizontal="centerContinuous"/>
      <protection locked="0"/>
    </xf>
    <xf numFmtId="179" fontId="53" fillId="3" borderId="0" xfId="0" applyNumberFormat="1" applyFont="1" applyFill="1" applyBorder="1" applyAlignment="1">
      <alignment horizontal="centerContinuous"/>
    </xf>
    <xf numFmtId="0" fontId="53" fillId="3" borderId="22" xfId="0" applyFont="1" applyFill="1" applyBorder="1" applyAlignment="1">
      <alignment horizontal="centerContinuous"/>
    </xf>
    <xf numFmtId="175" fontId="37" fillId="3" borderId="0" xfId="0" applyNumberFormat="1" applyFont="1" applyFill="1" applyBorder="1" applyAlignment="1" applyProtection="1">
      <alignment horizontal="center"/>
      <protection locked="0"/>
    </xf>
    <xf numFmtId="178" fontId="37" fillId="3" borderId="19" xfId="0" applyNumberFormat="1" applyFont="1" applyFill="1" applyBorder="1" applyAlignment="1">
      <alignment horizontal="center"/>
    </xf>
    <xf numFmtId="0" fontId="37" fillId="3" borderId="19" xfId="0" applyFont="1" applyFill="1" applyBorder="1" applyAlignment="1">
      <alignment horizontal="center"/>
    </xf>
    <xf numFmtId="175" fontId="37" fillId="3" borderId="19" xfId="0" applyNumberFormat="1" applyFont="1" applyFill="1" applyBorder="1" applyAlignment="1" applyProtection="1">
      <alignment horizontal="center"/>
      <protection locked="0"/>
    </xf>
    <xf numFmtId="179" fontId="37" fillId="3" borderId="19" xfId="0" applyNumberFormat="1" applyFont="1" applyFill="1" applyBorder="1"/>
    <xf numFmtId="178" fontId="37" fillId="3" borderId="0" xfId="0" applyNumberFormat="1" applyFont="1" applyFill="1" applyBorder="1" applyAlignment="1" applyProtection="1">
      <alignment horizontal="center"/>
      <protection locked="0"/>
    </xf>
    <xf numFmtId="0" fontId="37" fillId="11" borderId="0" xfId="0" applyFont="1" applyFill="1"/>
    <xf numFmtId="0" fontId="39" fillId="0" borderId="0" xfId="24" applyFont="1" applyAlignment="1">
      <alignment horizontal="center"/>
    </xf>
    <xf numFmtId="0" fontId="3" fillId="0" borderId="0" xfId="24" applyFont="1" applyAlignment="1">
      <alignment wrapText="1"/>
    </xf>
    <xf numFmtId="0" fontId="41" fillId="0" borderId="0" xfId="14" applyFont="1" applyAlignment="1" applyProtection="1"/>
    <xf numFmtId="0" fontId="3" fillId="0" borderId="0" xfId="24" applyFont="1"/>
    <xf numFmtId="0" fontId="50" fillId="0" borderId="0" xfId="0" applyFont="1" applyAlignment="1">
      <alignment wrapText="1"/>
    </xf>
    <xf numFmtId="0" fontId="4" fillId="0" borderId="0" xfId="0" applyFont="1" applyAlignment="1">
      <alignment wrapText="1"/>
    </xf>
    <xf numFmtId="0" fontId="7" fillId="10" borderId="4" xfId="0" applyFont="1" applyFill="1" applyBorder="1" applyAlignment="1" applyProtection="1">
      <alignment vertical="center"/>
    </xf>
    <xf numFmtId="0" fontId="3" fillId="10" borderId="4" xfId="0" applyFont="1" applyFill="1" applyBorder="1" applyAlignment="1" applyProtection="1">
      <alignment vertical="center"/>
    </xf>
    <xf numFmtId="178" fontId="7" fillId="2" borderId="1"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left" vertical="center"/>
    </xf>
    <xf numFmtId="178" fontId="7" fillId="3" borderId="11" xfId="0" applyNumberFormat="1" applyFont="1" applyFill="1" applyBorder="1" applyAlignment="1" applyProtection="1">
      <alignment horizontal="center" vertical="center"/>
    </xf>
    <xf numFmtId="0" fontId="7" fillId="3" borderId="17" xfId="0" applyFont="1" applyFill="1" applyBorder="1" applyAlignment="1" applyProtection="1">
      <alignment vertical="center"/>
    </xf>
    <xf numFmtId="0" fontId="3" fillId="0" borderId="0" xfId="0" applyFont="1" applyFill="1" applyBorder="1" applyAlignment="1" applyProtection="1">
      <alignment vertical="center"/>
    </xf>
    <xf numFmtId="0" fontId="3" fillId="10" borderId="6" xfId="0" applyFont="1" applyFill="1" applyBorder="1" applyAlignment="1" applyProtection="1">
      <alignment vertical="center"/>
    </xf>
    <xf numFmtId="0" fontId="44" fillId="10" borderId="4" xfId="0" applyFont="1" applyFill="1" applyBorder="1" applyAlignment="1" applyProtection="1">
      <alignment vertical="center"/>
    </xf>
    <xf numFmtId="178" fontId="44" fillId="10" borderId="13" xfId="0" applyNumberFormat="1" applyFont="1" applyFill="1" applyBorder="1" applyAlignment="1" applyProtection="1">
      <alignment horizontal="center" vertical="center"/>
    </xf>
    <xf numFmtId="178" fontId="7" fillId="3" borderId="17" xfId="0" applyNumberFormat="1" applyFont="1" applyFill="1" applyBorder="1" applyAlignment="1" applyProtection="1">
      <alignment vertical="center"/>
    </xf>
    <xf numFmtId="178" fontId="7" fillId="3" borderId="13" xfId="0" applyNumberFormat="1" applyFont="1" applyFill="1" applyBorder="1" applyAlignment="1" applyProtection="1">
      <alignment horizontal="center" vertical="center"/>
    </xf>
    <xf numFmtId="0" fontId="7" fillId="3" borderId="0" xfId="0" applyFont="1" applyFill="1" applyBorder="1" applyAlignment="1" applyProtection="1">
      <alignment vertical="center"/>
    </xf>
    <xf numFmtId="0" fontId="3" fillId="3" borderId="11" xfId="0" applyFont="1" applyFill="1" applyBorder="1" applyAlignment="1" applyProtection="1">
      <alignment vertical="center"/>
    </xf>
    <xf numFmtId="3" fontId="3" fillId="7" borderId="29" xfId="0" applyNumberFormat="1" applyFont="1" applyFill="1" applyBorder="1" applyAlignment="1" applyProtection="1">
      <alignment vertical="center"/>
    </xf>
    <xf numFmtId="37" fontId="3" fillId="3" borderId="30"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0" fontId="3" fillId="2" borderId="12" xfId="0" applyNumberFormat="1"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xf>
    <xf numFmtId="178" fontId="7" fillId="3" borderId="17" xfId="0" applyNumberFormat="1" applyFont="1" applyFill="1" applyBorder="1" applyAlignment="1" applyProtection="1">
      <alignment horizontal="center" vertical="center"/>
    </xf>
    <xf numFmtId="0" fontId="4" fillId="3" borderId="0" xfId="30" applyFont="1" applyFill="1" applyAlignment="1" applyProtection="1">
      <alignment vertical="center"/>
    </xf>
    <xf numFmtId="0" fontId="3" fillId="3" borderId="0" xfId="43" applyFont="1" applyFill="1" applyAlignment="1" applyProtection="1">
      <alignment horizontal="right" vertical="center"/>
    </xf>
    <xf numFmtId="37" fontId="3" fillId="3" borderId="0" xfId="24" applyNumberFormat="1" applyFont="1" applyFill="1" applyAlignment="1" applyProtection="1">
      <alignment horizontal="right" vertical="center"/>
    </xf>
    <xf numFmtId="0" fontId="55" fillId="3" borderId="0" xfId="24" applyFont="1" applyFill="1" applyAlignment="1" applyProtection="1">
      <alignment horizontal="center" vertical="center"/>
    </xf>
    <xf numFmtId="0" fontId="3" fillId="3" borderId="17" xfId="0" applyFont="1" applyFill="1" applyBorder="1" applyAlignment="1" applyProtection="1">
      <alignment vertical="center"/>
    </xf>
    <xf numFmtId="0" fontId="25" fillId="3" borderId="0" xfId="0" applyFont="1" applyFill="1" applyBorder="1" applyAlignment="1" applyProtection="1">
      <alignment vertical="center"/>
    </xf>
    <xf numFmtId="0" fontId="25" fillId="10" borderId="4" xfId="0" applyFont="1" applyFill="1" applyBorder="1" applyAlignment="1" applyProtection="1">
      <alignment vertical="center"/>
    </xf>
    <xf numFmtId="0" fontId="7" fillId="3" borderId="17" xfId="0" applyFont="1" applyFill="1" applyBorder="1" applyProtection="1"/>
    <xf numFmtId="0" fontId="3" fillId="3" borderId="0" xfId="0" applyFont="1" applyFill="1" applyBorder="1" applyProtection="1"/>
    <xf numFmtId="178" fontId="3" fillId="3" borderId="11" xfId="0" applyNumberFormat="1" applyFont="1" applyFill="1" applyBorder="1" applyAlignment="1" applyProtection="1">
      <alignment horizontal="center"/>
    </xf>
    <xf numFmtId="0" fontId="3" fillId="3" borderId="13" xfId="0" applyFont="1" applyFill="1" applyBorder="1" applyProtection="1"/>
    <xf numFmtId="0" fontId="3" fillId="3" borderId="4" xfId="0" applyFont="1" applyFill="1" applyBorder="1" applyProtection="1"/>
    <xf numFmtId="178" fontId="3" fillId="10" borderId="6" xfId="0" applyNumberFormat="1" applyFont="1" applyFill="1" applyBorder="1" applyAlignment="1" applyProtection="1">
      <alignment horizontal="center"/>
    </xf>
    <xf numFmtId="0" fontId="3" fillId="3" borderId="17" xfId="0" applyFont="1" applyFill="1" applyBorder="1" applyProtection="1"/>
    <xf numFmtId="0" fontId="3" fillId="3" borderId="11" xfId="0" applyFont="1" applyFill="1" applyBorder="1" applyProtection="1"/>
    <xf numFmtId="174" fontId="3" fillId="3" borderId="11" xfId="0" applyNumberFormat="1" applyFont="1" applyFill="1" applyBorder="1" applyAlignment="1" applyProtection="1">
      <alignment horizontal="center"/>
    </xf>
    <xf numFmtId="0" fontId="3" fillId="10" borderId="17" xfId="0" applyFont="1" applyFill="1" applyBorder="1" applyProtection="1"/>
    <xf numFmtId="0" fontId="3" fillId="10" borderId="0" xfId="0" applyFont="1" applyFill="1" applyBorder="1" applyProtection="1"/>
    <xf numFmtId="178" fontId="3" fillId="10" borderId="11" xfId="0" applyNumberFormat="1" applyFont="1" applyFill="1" applyBorder="1" applyAlignment="1" applyProtection="1">
      <alignment horizontal="center"/>
    </xf>
    <xf numFmtId="0" fontId="3" fillId="10" borderId="13" xfId="0" applyFont="1" applyFill="1" applyBorder="1" applyAlignment="1" applyProtection="1">
      <alignment vertical="center"/>
    </xf>
    <xf numFmtId="178" fontId="3" fillId="10" borderId="6" xfId="0" applyNumberFormat="1" applyFont="1" applyFill="1" applyBorder="1" applyAlignment="1" applyProtection="1">
      <alignment horizontal="center" vertical="center"/>
    </xf>
    <xf numFmtId="0" fontId="3" fillId="0" borderId="0" xfId="0" applyFont="1" applyProtection="1"/>
    <xf numFmtId="178" fontId="3" fillId="3" borderId="6" xfId="0" applyNumberFormat="1" applyFont="1" applyFill="1" applyBorder="1" applyAlignment="1" applyProtection="1">
      <alignment horizontal="center"/>
    </xf>
    <xf numFmtId="0" fontId="3" fillId="10" borderId="13" xfId="0" applyFont="1" applyFill="1" applyBorder="1" applyProtection="1"/>
    <xf numFmtId="0" fontId="3" fillId="10" borderId="4" xfId="0" applyFont="1" applyFill="1" applyBorder="1" applyProtection="1"/>
    <xf numFmtId="0" fontId="3" fillId="0" borderId="0" xfId="0" applyFont="1" applyFill="1" applyBorder="1" applyProtection="1"/>
    <xf numFmtId="175" fontId="3" fillId="2" borderId="11" xfId="0" applyNumberFormat="1" applyFont="1" applyFill="1" applyBorder="1" applyAlignment="1" applyProtection="1">
      <alignment horizontal="center"/>
      <protection locked="0"/>
    </xf>
    <xf numFmtId="178" fontId="7" fillId="10" borderId="13" xfId="0" applyNumberFormat="1" applyFont="1" applyFill="1" applyBorder="1" applyAlignment="1" applyProtection="1">
      <alignment horizontal="center" vertical="center"/>
    </xf>
    <xf numFmtId="0" fontId="3" fillId="0" borderId="0" xfId="43" applyFont="1" applyAlignment="1">
      <alignment vertical="center"/>
    </xf>
    <xf numFmtId="0" fontId="3" fillId="0" borderId="0" xfId="43" applyFont="1" applyAlignment="1">
      <alignment vertical="center" wrapTex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7" fillId="3" borderId="9" xfId="0" applyFont="1" applyFill="1" applyBorder="1" applyAlignment="1">
      <alignment horizontal="center"/>
    </xf>
    <xf numFmtId="178" fontId="37" fillId="3" borderId="0" xfId="0" applyNumberFormat="1" applyFont="1" applyFill="1" applyBorder="1" applyAlignment="1">
      <alignment horizontal="center"/>
    </xf>
    <xf numFmtId="179" fontId="37" fillId="3" borderId="0" xfId="0" applyNumberFormat="1" applyFont="1" applyFill="1" applyBorder="1" applyAlignment="1">
      <alignment horizontal="center"/>
    </xf>
    <xf numFmtId="0" fontId="53" fillId="3" borderId="0" xfId="0" applyFont="1" applyFill="1" applyAlignment="1">
      <alignment horizontal="center" wrapText="1"/>
    </xf>
    <xf numFmtId="0" fontId="37" fillId="3" borderId="0" xfId="0" applyFont="1" applyFill="1" applyBorder="1" applyAlignment="1">
      <alignment horizontal="center"/>
    </xf>
    <xf numFmtId="178" fontId="37" fillId="2" borderId="4" xfId="0" applyNumberFormat="1" applyFont="1" applyFill="1" applyBorder="1" applyAlignment="1" applyProtection="1">
      <alignment horizontal="center"/>
      <protection locked="0"/>
    </xf>
    <xf numFmtId="0" fontId="37" fillId="3" borderId="0" xfId="0" applyFont="1" applyFill="1" applyBorder="1" applyAlignment="1"/>
    <xf numFmtId="0" fontId="37" fillId="3" borderId="25" xfId="0" applyFont="1" applyFill="1" applyBorder="1" applyAlignment="1"/>
    <xf numFmtId="0" fontId="53" fillId="3" borderId="0" xfId="0" applyFont="1" applyFill="1" applyAlignment="1">
      <alignment horizontal="center"/>
    </xf>
    <xf numFmtId="178" fontId="37" fillId="3" borderId="0" xfId="0" applyNumberFormat="1" applyFont="1" applyFill="1" applyAlignment="1">
      <alignment horizontal="center"/>
    </xf>
    <xf numFmtId="10" fontId="3" fillId="4" borderId="1" xfId="0" applyNumberFormat="1" applyFont="1" applyFill="1" applyBorder="1" applyAlignment="1" applyProtection="1">
      <alignment vertical="center"/>
      <protection locked="0"/>
    </xf>
    <xf numFmtId="180" fontId="3" fillId="2" borderId="1" xfId="0" applyNumberFormat="1" applyFont="1" applyFill="1" applyBorder="1" applyAlignment="1" applyProtection="1">
      <alignment vertical="center"/>
      <protection locked="0"/>
    </xf>
    <xf numFmtId="180" fontId="3" fillId="4" borderId="1" xfId="0" applyNumberFormat="1" applyFont="1" applyFill="1" applyBorder="1" applyAlignment="1" applyProtection="1">
      <alignment vertical="center"/>
      <protection locked="0"/>
    </xf>
    <xf numFmtId="0" fontId="3" fillId="0" borderId="0" xfId="0" applyFont="1"/>
    <xf numFmtId="49" fontId="3" fillId="2" borderId="0" xfId="397" applyNumberFormat="1" applyFont="1" applyFill="1" applyAlignment="1" applyProtection="1">
      <alignment horizontal="left" vertical="center"/>
      <protection locked="0"/>
    </xf>
    <xf numFmtId="0" fontId="56" fillId="0" borderId="0" xfId="0" applyFont="1"/>
    <xf numFmtId="0" fontId="3" fillId="0" borderId="0" xfId="397" applyFont="1" applyAlignment="1">
      <alignment horizontal="left" vertical="center"/>
    </xf>
    <xf numFmtId="0" fontId="57" fillId="0" borderId="0" xfId="397" applyFont="1"/>
    <xf numFmtId="176" fontId="58" fillId="0" borderId="0" xfId="397" applyNumberFormat="1" applyFont="1" applyAlignment="1">
      <alignment horizontal="left" vertical="center"/>
    </xf>
    <xf numFmtId="0" fontId="58" fillId="0" borderId="0" xfId="397" applyNumberFormat="1" applyFont="1" applyAlignment="1">
      <alignment horizontal="left" vertical="center"/>
    </xf>
    <xf numFmtId="1" fontId="58" fillId="0" borderId="0" xfId="397" applyNumberFormat="1" applyFont="1" applyAlignment="1">
      <alignment horizontal="left" vertical="center"/>
    </xf>
    <xf numFmtId="0" fontId="59" fillId="0" borderId="0" xfId="397" applyFont="1" applyAlignment="1">
      <alignment horizontal="left" vertical="center"/>
    </xf>
    <xf numFmtId="0" fontId="3" fillId="3" borderId="12" xfId="421" applyFont="1" applyFill="1" applyBorder="1" applyAlignment="1" applyProtection="1">
      <alignment vertical="center"/>
    </xf>
    <xf numFmtId="0" fontId="3" fillId="3" borderId="13" xfId="421" applyFont="1" applyFill="1" applyBorder="1" applyAlignment="1" applyProtection="1">
      <alignment vertical="center"/>
    </xf>
    <xf numFmtId="171" fontId="3" fillId="3" borderId="12" xfId="0" applyNumberFormat="1" applyFont="1" applyFill="1" applyBorder="1" applyAlignment="1" applyProtection="1">
      <alignment vertical="center"/>
    </xf>
    <xf numFmtId="0" fontId="3" fillId="3" borderId="1" xfId="421" applyFont="1" applyFill="1" applyBorder="1" applyAlignment="1" applyProtection="1">
      <alignment vertical="center"/>
    </xf>
    <xf numFmtId="3" fontId="3" fillId="3" borderId="1" xfId="421" applyNumberFormat="1" applyFont="1" applyFill="1" applyBorder="1" applyAlignment="1" applyProtection="1">
      <alignment vertical="center"/>
    </xf>
    <xf numFmtId="0" fontId="3" fillId="3" borderId="0" xfId="421" applyFont="1" applyFill="1" applyBorder="1" applyAlignment="1" applyProtection="1">
      <alignment horizontal="left" vertical="center"/>
      <protection locked="0"/>
    </xf>
    <xf numFmtId="0" fontId="4" fillId="3" borderId="1" xfId="421"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3" fillId="3" borderId="0" xfId="0" applyFont="1" applyFill="1" applyBorder="1" applyAlignment="1">
      <alignment vertical="center"/>
    </xf>
    <xf numFmtId="0" fontId="3" fillId="3" borderId="0" xfId="0" applyFont="1" applyFill="1" applyBorder="1" applyAlignment="1" applyProtection="1">
      <alignment horizontal="fill" vertical="center"/>
      <protection locked="0"/>
    </xf>
    <xf numFmtId="0" fontId="3" fillId="3" borderId="0" xfId="0" applyFont="1" applyFill="1" applyBorder="1" applyAlignment="1" applyProtection="1">
      <alignment horizontal="centerContinuous" vertical="center"/>
    </xf>
    <xf numFmtId="3" fontId="3" fillId="3" borderId="3" xfId="0" applyNumberFormat="1" applyFont="1" applyFill="1" applyBorder="1" applyAlignment="1" applyProtection="1">
      <alignment horizontal="right" vertical="center"/>
    </xf>
    <xf numFmtId="164" fontId="3" fillId="3" borderId="1" xfId="0" applyNumberFormat="1" applyFont="1" applyFill="1" applyBorder="1" applyAlignment="1" applyProtection="1">
      <alignment horizontal="right" vertical="center"/>
    </xf>
    <xf numFmtId="37" fontId="3" fillId="3" borderId="1" xfId="0" applyNumberFormat="1" applyFont="1" applyFill="1" applyBorder="1" applyAlignment="1" applyProtection="1">
      <alignment horizontal="right" vertical="center"/>
    </xf>
    <xf numFmtId="3" fontId="3" fillId="3" borderId="2" xfId="0" applyNumberFormat="1" applyFont="1" applyFill="1" applyBorder="1" applyAlignment="1" applyProtection="1">
      <alignment horizontal="right" vertical="center"/>
    </xf>
    <xf numFmtId="37" fontId="3" fillId="3" borderId="2" xfId="0" applyNumberFormat="1" applyFont="1" applyFill="1" applyBorder="1" applyAlignment="1" applyProtection="1">
      <alignment horizontal="right" vertical="center"/>
    </xf>
    <xf numFmtId="164" fontId="3" fillId="3" borderId="2" xfId="0" applyNumberFormat="1" applyFont="1" applyFill="1" applyBorder="1" applyAlignment="1" applyProtection="1">
      <alignment horizontal="right" vertical="center"/>
    </xf>
    <xf numFmtId="3" fontId="3" fillId="7" borderId="2" xfId="0" applyNumberFormat="1" applyFont="1" applyFill="1" applyBorder="1" applyAlignment="1" applyProtection="1">
      <alignment horizontal="right" vertical="center"/>
    </xf>
    <xf numFmtId="37" fontId="3" fillId="7" borderId="2" xfId="0" applyNumberFormat="1" applyFont="1" applyFill="1" applyBorder="1" applyAlignment="1" applyProtection="1">
      <alignment horizontal="right" vertical="center"/>
    </xf>
    <xf numFmtId="172" fontId="3" fillId="7" borderId="2" xfId="0" applyNumberFormat="1" applyFont="1" applyFill="1" applyBorder="1" applyAlignment="1" applyProtection="1">
      <alignment horizontal="right" vertical="center"/>
    </xf>
    <xf numFmtId="0" fontId="3" fillId="0" borderId="0" xfId="0" applyNumberFormat="1" applyFont="1" applyFill="1" applyAlignment="1" applyProtection="1">
      <alignment horizontal="right" vertical="center"/>
    </xf>
    <xf numFmtId="0" fontId="7" fillId="10" borderId="0" xfId="0" applyFont="1" applyFill="1" applyBorder="1" applyAlignment="1" applyProtection="1">
      <alignment vertical="center"/>
    </xf>
    <xf numFmtId="0" fontId="3" fillId="10" borderId="0" xfId="0" applyFont="1" applyFill="1" applyBorder="1" applyAlignment="1" applyProtection="1">
      <alignment vertical="center"/>
    </xf>
    <xf numFmtId="0" fontId="43" fillId="3" borderId="0" xfId="0" applyFont="1" applyFill="1" applyBorder="1" applyAlignment="1" applyProtection="1">
      <alignment horizontal="center" vertical="center"/>
    </xf>
    <xf numFmtId="178"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178" fontId="4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protection locked="0"/>
    </xf>
    <xf numFmtId="178" fontId="7"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4" fillId="3" borderId="8" xfId="0" applyFont="1" applyFill="1" applyBorder="1" applyAlignment="1" applyProtection="1">
      <alignment horizontal="center" vertical="center"/>
    </xf>
    <xf numFmtId="0" fontId="44" fillId="10" borderId="17" xfId="0" applyFont="1" applyFill="1" applyBorder="1" applyAlignment="1" applyProtection="1">
      <alignment vertical="center"/>
    </xf>
    <xf numFmtId="178" fontId="44" fillId="10" borderId="8" xfId="0" applyNumberFormat="1" applyFont="1" applyFill="1" applyBorder="1" applyAlignment="1" applyProtection="1">
      <alignment horizontal="center" vertical="center"/>
    </xf>
    <xf numFmtId="37" fontId="7" fillId="3" borderId="13" xfId="0" applyNumberFormat="1" applyFont="1" applyFill="1" applyBorder="1" applyAlignment="1" applyProtection="1">
      <alignment horizontal="left" vertical="center"/>
    </xf>
    <xf numFmtId="0" fontId="20" fillId="3" borderId="4" xfId="0" applyFont="1" applyFill="1" applyBorder="1" applyAlignment="1">
      <alignment horizontal="left" vertical="center"/>
    </xf>
    <xf numFmtId="178" fontId="44" fillId="10" borderId="6" xfId="0" applyNumberFormat="1" applyFont="1" applyFill="1" applyBorder="1" applyAlignment="1" applyProtection="1">
      <alignment horizontal="center" vertical="center"/>
      <protection locked="0"/>
    </xf>
    <xf numFmtId="0" fontId="7" fillId="3" borderId="11" xfId="0" applyFont="1" applyFill="1" applyBorder="1" applyAlignment="1" applyProtection="1">
      <alignment vertical="center"/>
    </xf>
    <xf numFmtId="0" fontId="60" fillId="0" borderId="0" xfId="0" applyFont="1" applyProtection="1">
      <protection locked="0"/>
    </xf>
    <xf numFmtId="0" fontId="46" fillId="0" borderId="0" xfId="0" applyFont="1" applyAlignment="1" applyProtection="1">
      <alignment vertical="center"/>
    </xf>
    <xf numFmtId="0" fontId="7" fillId="10" borderId="6" xfId="0" applyFont="1" applyFill="1" applyBorder="1" applyAlignment="1" applyProtection="1">
      <alignment vertical="center"/>
    </xf>
    <xf numFmtId="175" fontId="7" fillId="3" borderId="17" xfId="0" applyNumberFormat="1" applyFont="1" applyFill="1" applyBorder="1" applyAlignment="1" applyProtection="1">
      <alignment horizontal="center" vertical="center"/>
    </xf>
    <xf numFmtId="0" fontId="0" fillId="3" borderId="11" xfId="0" applyFill="1" applyBorder="1" applyAlignment="1" applyProtection="1">
      <alignment vertical="center"/>
    </xf>
    <xf numFmtId="175" fontId="7" fillId="10" borderId="13" xfId="0" applyNumberFormat="1" applyFont="1" applyFill="1" applyBorder="1" applyAlignment="1" applyProtection="1">
      <alignment horizontal="center" vertical="center"/>
    </xf>
    <xf numFmtId="0" fontId="0" fillId="0" borderId="0" xfId="0" applyFill="1" applyBorder="1" applyAlignment="1">
      <alignment vertical="center"/>
    </xf>
    <xf numFmtId="175" fontId="7" fillId="3" borderId="12" xfId="0" applyNumberFormat="1" applyFont="1" applyFill="1" applyBorder="1" applyAlignment="1" applyProtection="1">
      <alignment horizontal="center" vertical="center"/>
    </xf>
    <xf numFmtId="175" fontId="7" fillId="10" borderId="12" xfId="0" applyNumberFormat="1" applyFont="1" applyFill="1" applyBorder="1" applyAlignment="1" applyProtection="1">
      <alignment horizontal="center" vertical="center"/>
    </xf>
    <xf numFmtId="0" fontId="7" fillId="3" borderId="4" xfId="0" applyFont="1" applyFill="1" applyBorder="1" applyAlignment="1" applyProtection="1">
      <alignment horizontal="left" vertical="center"/>
    </xf>
    <xf numFmtId="0" fontId="43" fillId="3" borderId="4" xfId="0" applyFont="1" applyFill="1" applyBorder="1" applyAlignment="1" applyProtection="1">
      <alignment horizontal="center" vertical="center"/>
    </xf>
    <xf numFmtId="180" fontId="3" fillId="3" borderId="0" xfId="24" applyNumberFormat="1" applyFont="1" applyFill="1" applyAlignment="1" applyProtection="1">
      <alignment horizontal="center" vertical="center"/>
    </xf>
    <xf numFmtId="0" fontId="3" fillId="0" borderId="0" xfId="0" applyFont="1" applyProtection="1">
      <protection locked="0"/>
    </xf>
    <xf numFmtId="175" fontId="44" fillId="3" borderId="8" xfId="0" applyNumberFormat="1" applyFont="1" applyFill="1" applyBorder="1" applyAlignment="1" applyProtection="1">
      <alignment horizontal="center" vertical="center"/>
    </xf>
    <xf numFmtId="37" fontId="3" fillId="3" borderId="11" xfId="0" applyNumberFormat="1" applyFont="1" applyFill="1" applyBorder="1" applyAlignment="1" applyProtection="1">
      <alignment horizontal="right" vertical="center"/>
    </xf>
    <xf numFmtId="0" fontId="47" fillId="0" borderId="0" xfId="0" applyFont="1" applyAlignment="1" applyProtection="1">
      <alignment vertical="center"/>
    </xf>
    <xf numFmtId="37" fontId="3" fillId="10" borderId="6" xfId="0" applyNumberFormat="1" applyFont="1" applyFill="1" applyBorder="1" applyAlignment="1" applyProtection="1">
      <alignment horizontal="right" vertical="center"/>
    </xf>
    <xf numFmtId="0" fontId="3" fillId="3" borderId="11" xfId="0" applyFont="1" applyFill="1" applyBorder="1" applyProtection="1">
      <protection locked="0"/>
    </xf>
    <xf numFmtId="0" fontId="3" fillId="3" borderId="11" xfId="0" applyFont="1" applyFill="1" applyBorder="1" applyAlignment="1" applyProtection="1">
      <alignment vertical="center"/>
      <protection locked="0"/>
    </xf>
    <xf numFmtId="0" fontId="3" fillId="10" borderId="6" xfId="0" applyFont="1" applyFill="1" applyBorder="1" applyProtection="1">
      <protection locked="0"/>
    </xf>
    <xf numFmtId="178" fontId="25" fillId="3" borderId="17" xfId="0" applyNumberFormat="1" applyFont="1" applyFill="1" applyBorder="1" applyAlignment="1" applyProtection="1">
      <alignment horizontal="center" vertical="center"/>
    </xf>
    <xf numFmtId="178" fontId="25" fillId="3" borderId="17" xfId="0" applyNumberFormat="1" applyFont="1" applyFill="1" applyBorder="1" applyAlignment="1" applyProtection="1">
      <alignment vertical="center"/>
    </xf>
    <xf numFmtId="178" fontId="25" fillId="3" borderId="13" xfId="0" applyNumberFormat="1" applyFont="1" applyFill="1" applyBorder="1" applyAlignment="1" applyProtection="1">
      <alignment horizontal="center" vertical="center"/>
    </xf>
    <xf numFmtId="178" fontId="25" fillId="10" borderId="13" xfId="0" applyNumberFormat="1" applyFont="1" applyFill="1" applyBorder="1" applyAlignment="1" applyProtection="1">
      <alignment horizontal="center" vertical="center"/>
    </xf>
    <xf numFmtId="49" fontId="3" fillId="4" borderId="1" xfId="0" applyNumberFormat="1" applyFont="1" applyFill="1" applyBorder="1" applyAlignment="1" applyProtection="1">
      <alignment horizontal="center" vertical="center"/>
      <protection locked="0"/>
    </xf>
    <xf numFmtId="0" fontId="48" fillId="0" borderId="0" xfId="0" applyFont="1" applyAlignment="1" applyProtection="1">
      <alignment vertical="center"/>
    </xf>
    <xf numFmtId="0" fontId="45" fillId="0" borderId="0" xfId="0" applyFont="1" applyAlignment="1" applyProtection="1">
      <alignment vertical="center"/>
    </xf>
    <xf numFmtId="175" fontId="7"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3" fillId="0" borderId="0" xfId="77" applyFont="1" applyAlignment="1">
      <alignment vertical="center"/>
    </xf>
    <xf numFmtId="0" fontId="3" fillId="0" borderId="0" xfId="415" applyFont="1" applyAlignment="1">
      <alignment vertical="center" wrapText="1"/>
    </xf>
    <xf numFmtId="0" fontId="3" fillId="0" borderId="0" xfId="24" applyFont="1" applyAlignment="1">
      <alignment vertical="center" wrapText="1"/>
    </xf>
    <xf numFmtId="0" fontId="43" fillId="0" borderId="0" xfId="0" applyFont="1" applyFill="1" applyBorder="1" applyAlignment="1" applyProtection="1">
      <alignment horizontal="center" vertical="center"/>
    </xf>
    <xf numFmtId="0" fontId="3" fillId="0" borderId="0" xfId="26" applyFont="1" applyAlignment="1">
      <alignment vertical="center" wrapText="1"/>
    </xf>
    <xf numFmtId="3" fontId="3" fillId="7" borderId="3" xfId="0" applyNumberFormat="1" applyFont="1" applyFill="1" applyBorder="1" applyAlignment="1" applyProtection="1">
      <alignment vertical="center"/>
    </xf>
    <xf numFmtId="3" fontId="3" fillId="7" borderId="8" xfId="0" applyNumberFormat="1" applyFont="1" applyFill="1" applyBorder="1" applyAlignment="1" applyProtection="1">
      <alignment vertical="center"/>
    </xf>
    <xf numFmtId="37" fontId="3" fillId="3" borderId="30" xfId="0" applyNumberFormat="1" applyFont="1" applyFill="1" applyBorder="1" applyAlignment="1" applyProtection="1">
      <alignment horizontal="right" vertical="center"/>
    </xf>
    <xf numFmtId="175" fontId="3" fillId="3" borderId="1" xfId="0" applyNumberFormat="1" applyFont="1" applyFill="1" applyBorder="1" applyAlignment="1" applyProtection="1">
      <alignment horizontal="right" vertical="center"/>
    </xf>
    <xf numFmtId="175" fontId="3" fillId="3" borderId="30" xfId="0" applyNumberFormat="1" applyFont="1" applyFill="1" applyBorder="1" applyAlignment="1" applyProtection="1">
      <alignment horizontal="right" vertical="center"/>
    </xf>
    <xf numFmtId="175" fontId="3" fillId="7" borderId="3" xfId="0" applyNumberFormat="1" applyFont="1" applyFill="1" applyBorder="1" applyAlignment="1" applyProtection="1">
      <alignment horizontal="right" vertical="center"/>
    </xf>
    <xf numFmtId="175" fontId="3" fillId="3" borderId="1" xfId="0" applyNumberFormat="1" applyFont="1" applyFill="1" applyBorder="1" applyAlignment="1" applyProtection="1">
      <alignment vertical="center"/>
    </xf>
    <xf numFmtId="175" fontId="3" fillId="3" borderId="30" xfId="0" applyNumberFormat="1" applyFont="1" applyFill="1" applyBorder="1" applyAlignment="1" applyProtection="1">
      <alignment vertical="center"/>
    </xf>
    <xf numFmtId="175" fontId="3" fillId="7" borderId="3" xfId="0" applyNumberFormat="1" applyFont="1" applyFill="1" applyBorder="1" applyAlignment="1" applyProtection="1">
      <alignment vertical="center"/>
    </xf>
    <xf numFmtId="3" fontId="3" fillId="3" borderId="30" xfId="0" applyNumberFormat="1" applyFont="1" applyFill="1" applyBorder="1" applyAlignment="1" applyProtection="1">
      <alignment horizontal="right" vertical="center"/>
    </xf>
    <xf numFmtId="0" fontId="61" fillId="3" borderId="8" xfId="0" applyFont="1" applyFill="1" applyBorder="1" applyAlignment="1">
      <alignment horizontal="center" vertical="center"/>
    </xf>
    <xf numFmtId="0" fontId="4" fillId="3" borderId="5" xfId="0" applyFont="1" applyFill="1" applyBorder="1" applyAlignment="1">
      <alignment horizontal="centerContinuous" vertical="center"/>
    </xf>
    <xf numFmtId="0" fontId="44" fillId="3" borderId="12" xfId="0" applyFont="1" applyFill="1" applyBorder="1" applyAlignment="1">
      <alignment horizontal="centerContinuous" vertical="center"/>
    </xf>
    <xf numFmtId="0" fontId="3" fillId="0" borderId="0" xfId="26" applyFont="1" applyAlignment="1">
      <alignment vertical="center"/>
    </xf>
    <xf numFmtId="0" fontId="3" fillId="0" borderId="0" xfId="0" applyFont="1" applyAlignment="1">
      <alignment wrapText="1"/>
    </xf>
    <xf numFmtId="0" fontId="3"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3" fillId="5" borderId="0" xfId="0" applyNumberFormat="1" applyFont="1" applyFill="1" applyAlignment="1" applyProtection="1">
      <alignment horizontal="center" vertical="center" wrapText="1"/>
    </xf>
    <xf numFmtId="0" fontId="0" fillId="5" borderId="4"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95" applyFont="1" applyAlignment="1">
      <alignment horizontal="left" vertical="center" wrapText="1"/>
    </xf>
    <xf numFmtId="0" fontId="32" fillId="0" borderId="0" xfId="395" applyFont="1" applyAlignment="1">
      <alignment horizontal="left" vertical="center" wrapText="1"/>
    </xf>
    <xf numFmtId="0" fontId="17" fillId="0" borderId="0" xfId="395"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5"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3" fillId="3" borderId="4"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0" fillId="0" borderId="0"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37" fontId="3" fillId="3" borderId="2"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4" fillId="3" borderId="0" xfId="422" applyFont="1" applyFill="1" applyAlignment="1" applyProtection="1">
      <alignment horizontal="center" vertical="center"/>
    </xf>
    <xf numFmtId="0" fontId="43" fillId="3" borderId="14" xfId="0" applyFont="1" applyFill="1" applyBorder="1" applyAlignment="1" applyProtection="1">
      <alignment horizontal="center" vertical="center"/>
    </xf>
    <xf numFmtId="0" fontId="0" fillId="0" borderId="9" xfId="0" applyBorder="1" applyAlignment="1">
      <alignment vertical="center"/>
    </xf>
    <xf numFmtId="0" fontId="0" fillId="0" borderId="16" xfId="0" applyBorder="1" applyAlignment="1">
      <alignment vertical="center"/>
    </xf>
    <xf numFmtId="175" fontId="43" fillId="3" borderId="14" xfId="0" applyNumberFormat="1" applyFont="1" applyFill="1" applyBorder="1" applyAlignment="1" applyProtection="1">
      <alignment horizontal="center"/>
    </xf>
    <xf numFmtId="0" fontId="19" fillId="0" borderId="9" xfId="0" applyFont="1" applyBorder="1" applyAlignment="1"/>
    <xf numFmtId="0" fontId="19" fillId="0" borderId="16" xfId="0" applyFont="1" applyBorder="1" applyAlignment="1"/>
    <xf numFmtId="0" fontId="3" fillId="3" borderId="0" xfId="13" applyNumberFormat="1" applyFont="1" applyFill="1" applyBorder="1" applyAlignment="1" applyProtection="1">
      <alignment horizontal="right" vertical="center"/>
    </xf>
    <xf numFmtId="0" fontId="3" fillId="0" borderId="0" xfId="13" applyFont="1" applyAlignment="1" applyProtection="1">
      <alignment horizontal="right" vertical="center"/>
    </xf>
    <xf numFmtId="3" fontId="3" fillId="3" borderId="9" xfId="43" applyNumberFormat="1" applyFont="1" applyFill="1" applyBorder="1" applyAlignment="1" applyProtection="1">
      <alignment horizontal="right" vertical="center"/>
    </xf>
    <xf numFmtId="0" fontId="2" fillId="0" borderId="16" xfId="43" applyBorder="1" applyAlignment="1">
      <alignment horizontal="right" vertical="center"/>
    </xf>
    <xf numFmtId="0" fontId="3" fillId="3" borderId="0" xfId="43" applyFont="1" applyFill="1" applyAlignment="1" applyProtection="1">
      <alignment horizontal="right" vertical="center"/>
    </xf>
    <xf numFmtId="0" fontId="3" fillId="0" borderId="11" xfId="43" applyFont="1" applyBorder="1" applyAlignment="1">
      <alignment horizontal="right" vertical="center"/>
    </xf>
    <xf numFmtId="0" fontId="0" fillId="0" borderId="9" xfId="0" applyBorder="1" applyAlignment="1">
      <alignment horizontal="center" vertical="center"/>
    </xf>
    <xf numFmtId="0" fontId="0" fillId="0" borderId="16" xfId="0" applyBorder="1" applyAlignment="1"/>
    <xf numFmtId="0" fontId="20" fillId="0" borderId="9" xfId="0" applyFont="1" applyBorder="1" applyAlignment="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49" fontId="3" fillId="3" borderId="9" xfId="0" applyNumberFormat="1"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3"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3" borderId="9" xfId="0" applyFont="1" applyFill="1" applyBorder="1" applyAlignment="1" applyProtection="1">
      <alignment horizontal="center"/>
    </xf>
    <xf numFmtId="0" fontId="17" fillId="3" borderId="16" xfId="0" applyFont="1" applyFill="1" applyBorder="1" applyAlignment="1" applyProtection="1">
      <alignment horizontal="center"/>
    </xf>
    <xf numFmtId="49" fontId="3" fillId="3" borderId="4" xfId="0" applyNumberFormat="1" applyFont="1" applyFill="1" applyBorder="1" applyAlignment="1" applyProtection="1">
      <alignment horizontal="center" vertical="center"/>
      <protection locked="0"/>
    </xf>
    <xf numFmtId="0" fontId="0" fillId="0" borderId="0" xfId="0" applyAlignment="1">
      <alignment vertical="center"/>
    </xf>
    <xf numFmtId="0" fontId="7" fillId="3" borderId="2" xfId="0" applyFont="1" applyFill="1" applyBorder="1" applyAlignment="1">
      <alignment horizontal="center" vertical="center" wrapText="1" shrinkToFit="1"/>
    </xf>
    <xf numFmtId="0" fontId="20" fillId="0" borderId="3" xfId="0" applyFont="1" applyBorder="1" applyAlignment="1">
      <alignment horizontal="center" vertical="center" wrapText="1" shrinkToFit="1"/>
    </xf>
    <xf numFmtId="0" fontId="5" fillId="3" borderId="0" xfId="0"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423"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2" borderId="21" xfId="0" applyNumberFormat="1" applyFont="1" applyFill="1" applyBorder="1" applyAlignment="1" applyProtection="1">
      <alignment horizontal="center"/>
      <protection locked="0"/>
    </xf>
    <xf numFmtId="178" fontId="37" fillId="2" borderId="4" xfId="0" applyNumberFormat="1" applyFont="1" applyFill="1" applyBorder="1" applyAlignment="1" applyProtection="1">
      <alignment horizontal="center"/>
      <protection locked="0"/>
    </xf>
    <xf numFmtId="0" fontId="37" fillId="3" borderId="0" xfId="0" applyFont="1" applyFill="1" applyBorder="1" applyAlignment="1"/>
    <xf numFmtId="0" fontId="37" fillId="0" borderId="0" xfId="0" applyFont="1" applyBorder="1" applyAlignment="1"/>
    <xf numFmtId="0" fontId="53" fillId="3" borderId="0" xfId="0" applyFont="1" applyFill="1" applyAlignment="1">
      <alignment horizontal="center"/>
    </xf>
    <xf numFmtId="0" fontId="37" fillId="3" borderId="0" xfId="0" applyFont="1" applyFill="1" applyAlignment="1">
      <alignment wrapText="1"/>
    </xf>
    <xf numFmtId="0" fontId="37" fillId="0" borderId="0" xfId="0" applyFont="1" applyAlignment="1">
      <alignment wrapText="1"/>
    </xf>
    <xf numFmtId="178" fontId="37" fillId="3" borderId="0" xfId="0" applyNumberFormat="1" applyFont="1" applyFill="1" applyAlignment="1">
      <alignment horizontal="center"/>
    </xf>
    <xf numFmtId="178" fontId="37" fillId="3" borderId="0" xfId="0" applyNumberFormat="1" applyFont="1" applyFill="1" applyAlignment="1"/>
    <xf numFmtId="0" fontId="53" fillId="3" borderId="19" xfId="0" applyFont="1" applyFill="1" applyBorder="1" applyAlignment="1">
      <alignment horizontal="center" vertical="center"/>
    </xf>
    <xf numFmtId="0" fontId="53" fillId="3" borderId="0" xfId="0" applyFont="1" applyFill="1" applyAlignment="1">
      <alignment horizontal="center" wrapText="1"/>
    </xf>
    <xf numFmtId="0" fontId="37" fillId="0" borderId="0" xfId="0" applyFont="1" applyAlignment="1">
      <alignment horizontal="center" wrapText="1"/>
    </xf>
    <xf numFmtId="0" fontId="53" fillId="3" borderId="0" xfId="0" applyFont="1" applyFill="1" applyAlignment="1">
      <alignment horizontal="center" vertical="center"/>
    </xf>
    <xf numFmtId="0" fontId="53" fillId="0" borderId="0" xfId="0" applyFont="1" applyAlignment="1">
      <alignment horizontal="center" vertical="center"/>
    </xf>
    <xf numFmtId="0" fontId="37" fillId="3" borderId="24" xfId="0" applyFont="1" applyFill="1" applyBorder="1" applyAlignment="1"/>
    <xf numFmtId="0" fontId="37" fillId="3" borderId="25" xfId="0" applyFont="1" applyFill="1" applyBorder="1" applyAlignment="1"/>
    <xf numFmtId="5" fontId="37" fillId="3" borderId="4" xfId="0" applyNumberFormat="1" applyFont="1" applyFill="1" applyBorder="1" applyAlignment="1">
      <alignment horizontal="center"/>
    </xf>
    <xf numFmtId="0" fontId="37" fillId="3" borderId="0" xfId="0" applyFont="1" applyFill="1" applyBorder="1" applyAlignment="1">
      <alignment horizontal="center"/>
    </xf>
    <xf numFmtId="178" fontId="37" fillId="3" borderId="0" xfId="0" applyNumberFormat="1" applyFont="1" applyFill="1" applyBorder="1" applyAlignment="1">
      <alignment horizontal="center"/>
    </xf>
    <xf numFmtId="0" fontId="37" fillId="0" borderId="19" xfId="0" applyFont="1" applyBorder="1" applyAlignment="1">
      <alignment horizontal="center" vertical="center"/>
    </xf>
    <xf numFmtId="0" fontId="53" fillId="3" borderId="0" xfId="0" applyFont="1" applyFill="1" applyBorder="1" applyAlignment="1">
      <alignment horizontal="center" wrapText="1"/>
    </xf>
    <xf numFmtId="0" fontId="53" fillId="0" borderId="0" xfId="0" applyFont="1" applyAlignment="1">
      <alignment horizontal="center" wrapText="1"/>
    </xf>
    <xf numFmtId="0" fontId="37" fillId="3" borderId="0" xfId="0" applyFont="1" applyFill="1" applyBorder="1" applyAlignment="1">
      <alignment wrapText="1"/>
    </xf>
    <xf numFmtId="174" fontId="37" fillId="2" borderId="4" xfId="0" applyNumberFormat="1" applyFont="1" applyFill="1" applyBorder="1" applyAlignment="1" applyProtection="1">
      <alignment horizontal="center"/>
      <protection locked="0"/>
    </xf>
    <xf numFmtId="179" fontId="37" fillId="3" borderId="0" xfId="0" applyNumberFormat="1" applyFont="1" applyFill="1" applyBorder="1" applyAlignment="1">
      <alignment horizontal="center"/>
    </xf>
    <xf numFmtId="179" fontId="37" fillId="0" borderId="22" xfId="0" applyNumberFormat="1" applyFont="1" applyBorder="1" applyAlignment="1">
      <alignment horizontal="center"/>
    </xf>
    <xf numFmtId="0" fontId="37" fillId="3" borderId="9" xfId="0" applyFont="1" applyFill="1" applyBorder="1" applyAlignment="1">
      <alignment horizontal="center"/>
    </xf>
    <xf numFmtId="0" fontId="37" fillId="3"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0" fontId="37" fillId="0" borderId="22" xfId="0" applyFont="1" applyBorder="1" applyAlignment="1">
      <alignment horizontal="center"/>
    </xf>
  </cellXfs>
  <cellStyles count="424">
    <cellStyle name="Comma" xfId="1" builtinId="3"/>
    <cellStyle name="Comma 11 2" xfId="2"/>
    <cellStyle name="Comma 16" xfId="3"/>
    <cellStyle name="Comma 16 2" xfId="4"/>
    <cellStyle name="Comma 16 3" xfId="5"/>
    <cellStyle name="Comma 2 2" xfId="6"/>
    <cellStyle name="Comma 3 2" xfId="7"/>
    <cellStyle name="Comma 4 2" xfId="8"/>
    <cellStyle name="Comma 6" xfId="9"/>
    <cellStyle name="Comma 7" xfId="10"/>
    <cellStyle name="Comma 7 2" xfId="11"/>
    <cellStyle name="Comma 7 3" xfId="12"/>
    <cellStyle name="Hyperlink" xfId="13" builtinId="8"/>
    <cellStyle name="Hyperlink 2 2" xfId="14"/>
    <cellStyle name="Hyperlink 3 2" xfId="15"/>
    <cellStyle name="Hyperlink 3 3" xfId="16"/>
    <cellStyle name="Hyperlink 3 4" xfId="17"/>
    <cellStyle name="Hyperlink 4 2" xfId="18"/>
    <cellStyle name="Hyperlink 7" xfId="19"/>
    <cellStyle name="Hyperlink 7 2" xfId="20"/>
    <cellStyle name="Hyperlink 8" xfId="21"/>
    <cellStyle name="Hyperlink 8 2" xfId="22"/>
    <cellStyle name="Normal" xfId="0" builtinId="0"/>
    <cellStyle name="Normal 10" xfId="23"/>
    <cellStyle name="Normal 10 2" xfId="24"/>
    <cellStyle name="Normal 10 2 2" xfId="25"/>
    <cellStyle name="Normal 10 2 2 2" xfId="26"/>
    <cellStyle name="Normal 10 2 2 3" xfId="27"/>
    <cellStyle name="Normal 10 3" xfId="28"/>
    <cellStyle name="Normal 10 4" xfId="29"/>
    <cellStyle name="Normal 10 5" xfId="30"/>
    <cellStyle name="Normal 10 6" xfId="31"/>
    <cellStyle name="Normal 10 7" xfId="32"/>
    <cellStyle name="Normal 11" xfId="33"/>
    <cellStyle name="Normal 11 2" xfId="34"/>
    <cellStyle name="Normal 11 2 2" xfId="35"/>
    <cellStyle name="Normal 11 3" xfId="36"/>
    <cellStyle name="Normal 11 4" xfId="37"/>
    <cellStyle name="Normal 11 5" xfId="38"/>
    <cellStyle name="Normal 12" xfId="39"/>
    <cellStyle name="Normal 12 10" xfId="40"/>
    <cellStyle name="Normal 12 11" xfId="41"/>
    <cellStyle name="Normal 12 12"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2" xfId="56"/>
    <cellStyle name="Normal 13 2 2" xfId="57"/>
    <cellStyle name="Normal 13 3" xfId="58"/>
    <cellStyle name="Normal 13 4" xfId="59"/>
    <cellStyle name="Normal 13 5" xfId="60"/>
    <cellStyle name="Normal 13 6" xfId="61"/>
    <cellStyle name="Normal 13 7" xfId="62"/>
    <cellStyle name="Normal 13 8" xfId="63"/>
    <cellStyle name="Normal 13 9" xfId="64"/>
    <cellStyle name="Normal 14" xfId="65"/>
    <cellStyle name="Normal 14 2" xfId="66"/>
    <cellStyle name="Normal 14 3" xfId="67"/>
    <cellStyle name="Normal 14 4" xfId="68"/>
    <cellStyle name="Normal 14 5" xfId="69"/>
    <cellStyle name="Normal 14 6" xfId="70"/>
    <cellStyle name="Normal 14 7" xfId="71"/>
    <cellStyle name="Normal 15" xfId="72"/>
    <cellStyle name="Normal 15 2" xfId="73"/>
    <cellStyle name="Normal 15 3" xfId="74"/>
    <cellStyle name="Normal 15 4" xfId="75"/>
    <cellStyle name="Normal 16" xfId="76"/>
    <cellStyle name="Normal 16 2" xfId="77"/>
    <cellStyle name="Normal 16 3" xfId="78"/>
    <cellStyle name="Normal 16 4" xfId="79"/>
    <cellStyle name="Normal 17" xfId="80"/>
    <cellStyle name="Normal 17 2" xfId="81"/>
    <cellStyle name="Normal 17 3" xfId="82"/>
    <cellStyle name="Normal 17 4" xfId="83"/>
    <cellStyle name="Normal 18" xfId="84"/>
    <cellStyle name="Normal 18 2" xfId="85"/>
    <cellStyle name="Normal 18 2 2" xfId="86"/>
    <cellStyle name="Normal 18 2 3" xfId="87"/>
    <cellStyle name="Normal 18 3" xfId="88"/>
    <cellStyle name="Normal 18 4" xfId="89"/>
    <cellStyle name="Normal 18 5" xfId="90"/>
    <cellStyle name="Normal 18 6" xfId="91"/>
    <cellStyle name="Normal 18 7" xfId="92"/>
    <cellStyle name="Normal 18 8" xfId="93"/>
    <cellStyle name="Normal 19" xfId="94"/>
    <cellStyle name="Normal 19 2" xfId="95"/>
    <cellStyle name="Normal 19 2 2" xfId="96"/>
    <cellStyle name="Normal 19 2 3" xfId="97"/>
    <cellStyle name="Normal 19 3" xfId="98"/>
    <cellStyle name="Normal 19 4" xfId="99"/>
    <cellStyle name="Normal 19 5" xfId="100"/>
    <cellStyle name="Normal 19 6" xfId="101"/>
    <cellStyle name="Normal 19 7" xfId="102"/>
    <cellStyle name="Normal 2" xfId="103"/>
    <cellStyle name="Normal 2 10" xfId="104"/>
    <cellStyle name="Normal 2 10 10" xfId="105"/>
    <cellStyle name="Normal 2 10 11" xfId="106"/>
    <cellStyle name="Normal 2 10 11 2" xfId="107"/>
    <cellStyle name="Normal 2 10 12" xfId="108"/>
    <cellStyle name="Normal 2 10 2" xfId="109"/>
    <cellStyle name="Normal 2 10 2 2" xfId="110"/>
    <cellStyle name="Normal 2 10 3" xfId="111"/>
    <cellStyle name="Normal 2 10 3 2" xfId="112"/>
    <cellStyle name="Normal 2 10 4" xfId="113"/>
    <cellStyle name="Normal 2 10 4 2" xfId="114"/>
    <cellStyle name="Normal 2 10 5" xfId="115"/>
    <cellStyle name="Normal 2 10 5 2" xfId="116"/>
    <cellStyle name="Normal 2 10 6" xfId="117"/>
    <cellStyle name="Normal 2 10 6 2" xfId="118"/>
    <cellStyle name="Normal 2 10 7" xfId="119"/>
    <cellStyle name="Normal 2 10 7 2" xfId="120"/>
    <cellStyle name="Normal 2 10 8" xfId="121"/>
    <cellStyle name="Normal 2 10 8 2" xfId="122"/>
    <cellStyle name="Normal 2 10 9" xfId="123"/>
    <cellStyle name="Normal 2 11" xfId="124"/>
    <cellStyle name="Normal 2 11 10" xfId="125"/>
    <cellStyle name="Normal 2 11 11" xfId="126"/>
    <cellStyle name="Normal 2 11 2" xfId="127"/>
    <cellStyle name="Normal 2 11 2 2" xfId="128"/>
    <cellStyle name="Normal 2 11 3" xfId="129"/>
    <cellStyle name="Normal 2 11 3 2" xfId="130"/>
    <cellStyle name="Normal 2 11 4" xfId="131"/>
    <cellStyle name="Normal 2 11 4 2" xfId="132"/>
    <cellStyle name="Normal 2 11 5" xfId="133"/>
    <cellStyle name="Normal 2 11 5 2" xfId="134"/>
    <cellStyle name="Normal 2 11 6" xfId="135"/>
    <cellStyle name="Normal 2 11 6 2" xfId="136"/>
    <cellStyle name="Normal 2 11 7" xfId="137"/>
    <cellStyle name="Normal 2 11 7 2" xfId="138"/>
    <cellStyle name="Normal 2 11 8" xfId="139"/>
    <cellStyle name="Normal 2 11 8 2" xfId="140"/>
    <cellStyle name="Normal 2 11 9" xfId="141"/>
    <cellStyle name="Normal 2 12" xfId="142"/>
    <cellStyle name="Normal 2 13" xfId="143"/>
    <cellStyle name="Normal 2 14" xfId="144"/>
    <cellStyle name="Normal 2 15" xfId="145"/>
    <cellStyle name="Normal 2 16" xfId="146"/>
    <cellStyle name="Normal 2 2" xfId="147"/>
    <cellStyle name="Normal 2 2 10" xfId="148"/>
    <cellStyle name="Normal 2 2 10 2" xfId="149"/>
    <cellStyle name="Normal 2 2 11" xfId="150"/>
    <cellStyle name="Normal 2 2 11 2" xfId="151"/>
    <cellStyle name="Normal 2 2 12" xfId="152"/>
    <cellStyle name="Normal 2 2 12 2" xfId="153"/>
    <cellStyle name="Normal 2 2 12 2 2" xfId="154"/>
    <cellStyle name="Normal 2 2 12 2 3" xfId="155"/>
    <cellStyle name="Normal 2 2 12 3" xfId="156"/>
    <cellStyle name="Normal 2 2 12 4" xfId="157"/>
    <cellStyle name="Normal 2 2 13" xfId="158"/>
    <cellStyle name="Normal 2 2 13 2" xfId="159"/>
    <cellStyle name="Normal 2 2 13 2 2" xfId="160"/>
    <cellStyle name="Normal 2 2 13 2 3" xfId="161"/>
    <cellStyle name="Normal 2 2 13 3" xfId="162"/>
    <cellStyle name="Normal 2 2 13 4"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3" xfId="190"/>
    <cellStyle name="Normal 2 2 3 2" xfId="191"/>
    <cellStyle name="Normal 2 2 4" xfId="192"/>
    <cellStyle name="Normal 2 2 4 2" xfId="193"/>
    <cellStyle name="Normal 2 2 5" xfId="194"/>
    <cellStyle name="Normal 2 2 5 2" xfId="195"/>
    <cellStyle name="Normal 2 2 6" xfId="196"/>
    <cellStyle name="Normal 2 2 6 2" xfId="197"/>
    <cellStyle name="Normal 2 2 7" xfId="198"/>
    <cellStyle name="Normal 2 2 7 2" xfId="199"/>
    <cellStyle name="Normal 2 2 8" xfId="200"/>
    <cellStyle name="Normal 2 2 8 2" xfId="201"/>
    <cellStyle name="Normal 2 2 9" xfId="202"/>
    <cellStyle name="Normal 2 2 9 2" xfId="203"/>
    <cellStyle name="Normal 2 3" xfId="204"/>
    <cellStyle name="Normal 2 3 10" xfId="205"/>
    <cellStyle name="Normal 2 3 11" xfId="206"/>
    <cellStyle name="Normal 2 3 12" xfId="207"/>
    <cellStyle name="Normal 2 3 13" xfId="208"/>
    <cellStyle name="Normal 2 3 14" xfId="209"/>
    <cellStyle name="Normal 2 3 15" xfId="210"/>
    <cellStyle name="Normal 2 3 2" xfId="211"/>
    <cellStyle name="Normal 2 3 2 2" xfId="212"/>
    <cellStyle name="Normal 2 3 2 2 2" xfId="213"/>
    <cellStyle name="Normal 2 3 2 2 3" xfId="214"/>
    <cellStyle name="Normal 2 3 2 3" xfId="215"/>
    <cellStyle name="Normal 2 3 2 4" xfId="216"/>
    <cellStyle name="Normal 2 3 2 5"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2 5" xfId="238"/>
    <cellStyle name="Normal 2 4 3" xfId="239"/>
    <cellStyle name="Normal 2 4 3 2" xfId="240"/>
    <cellStyle name="Normal 2 4 3 3" xfId="241"/>
    <cellStyle name="Normal 2 4 4" xfId="242"/>
    <cellStyle name="Normal 2 4 5" xfId="243"/>
    <cellStyle name="Normal 2 4 6" xfId="244"/>
    <cellStyle name="Normal 2 4 7" xfId="245"/>
    <cellStyle name="Normal 2 4 8" xfId="246"/>
    <cellStyle name="Normal 2 4 9" xfId="247"/>
    <cellStyle name="Normal 2 5" xfId="248"/>
    <cellStyle name="Normal 2 5 10" xfId="249"/>
    <cellStyle name="Normal 2 5 11" xfId="250"/>
    <cellStyle name="Normal 2 5 12" xfId="251"/>
    <cellStyle name="Normal 2 5 12 2" xfId="252"/>
    <cellStyle name="Normal 2 5 12 3" xfId="253"/>
    <cellStyle name="Normal 2 5 2" xfId="254"/>
    <cellStyle name="Normal 2 5 2 2" xfId="255"/>
    <cellStyle name="Normal 2 5 3" xfId="256"/>
    <cellStyle name="Normal 2 5 3 2" xfId="257"/>
    <cellStyle name="Normal 2 5 4" xfId="258"/>
    <cellStyle name="Normal 2 5 5" xfId="259"/>
    <cellStyle name="Normal 2 5 6" xfId="260"/>
    <cellStyle name="Normal 2 5 7" xfId="261"/>
    <cellStyle name="Normal 2 5 8" xfId="262"/>
    <cellStyle name="Normal 2 5 9" xfId="263"/>
    <cellStyle name="Normal 2 6" xfId="264"/>
    <cellStyle name="Normal 2 6 10" xfId="265"/>
    <cellStyle name="Normal 2 6 11" xfId="266"/>
    <cellStyle name="Normal 2 6 12" xfId="267"/>
    <cellStyle name="Normal 2 6 2" xfId="268"/>
    <cellStyle name="Normal 2 6 2 2" xfId="269"/>
    <cellStyle name="Normal 2 6 3" xfId="270"/>
    <cellStyle name="Normal 2 6 3 2" xfId="271"/>
    <cellStyle name="Normal 2 6 4" xfId="272"/>
    <cellStyle name="Normal 2 6 5" xfId="273"/>
    <cellStyle name="Normal 2 6 6" xfId="274"/>
    <cellStyle name="Normal 2 6 7" xfId="275"/>
    <cellStyle name="Normal 2 6 8" xfId="276"/>
    <cellStyle name="Normal 2 6 9" xfId="277"/>
    <cellStyle name="Normal 2 7" xfId="278"/>
    <cellStyle name="Normal 2 7 10" xfId="279"/>
    <cellStyle name="Normal 2 7 2" xfId="280"/>
    <cellStyle name="Normal 2 7 2 2" xfId="281"/>
    <cellStyle name="Normal 2 7 2 3" xfId="282"/>
    <cellStyle name="Normal 2 7 3" xfId="283"/>
    <cellStyle name="Normal 2 7 3 2" xfId="284"/>
    <cellStyle name="Normal 2 7 4" xfId="285"/>
    <cellStyle name="Normal 2 7 4 2" xfId="286"/>
    <cellStyle name="Normal 2 7 5" xfId="287"/>
    <cellStyle name="Normal 2 7 5 2" xfId="288"/>
    <cellStyle name="Normal 2 7 6" xfId="289"/>
    <cellStyle name="Normal 2 7 6 2" xfId="290"/>
    <cellStyle name="Normal 2 7 7" xfId="291"/>
    <cellStyle name="Normal 2 7 7 2" xfId="292"/>
    <cellStyle name="Normal 2 7 8" xfId="293"/>
    <cellStyle name="Normal 2 7 8 2" xfId="294"/>
    <cellStyle name="Normal 2 7 9" xfId="295"/>
    <cellStyle name="Normal 2 8" xfId="296"/>
    <cellStyle name="Normal 2 8 10" xfId="297"/>
    <cellStyle name="Normal 2 8 11" xfId="298"/>
    <cellStyle name="Normal 2 8 2" xfId="299"/>
    <cellStyle name="Normal 2 8 2 2" xfId="300"/>
    <cellStyle name="Normal 2 8 3" xfId="301"/>
    <cellStyle name="Normal 2 8 3 2" xfId="302"/>
    <cellStyle name="Normal 2 8 4" xfId="303"/>
    <cellStyle name="Normal 2 8 4 2" xfId="304"/>
    <cellStyle name="Normal 2 8 5" xfId="305"/>
    <cellStyle name="Normal 2 8 5 2" xfId="306"/>
    <cellStyle name="Normal 2 8 6" xfId="307"/>
    <cellStyle name="Normal 2 8 6 2" xfId="308"/>
    <cellStyle name="Normal 2 8 7" xfId="309"/>
    <cellStyle name="Normal 2 8 7 2" xfId="310"/>
    <cellStyle name="Normal 2 8 8" xfId="311"/>
    <cellStyle name="Normal 2 8 8 2" xfId="312"/>
    <cellStyle name="Normal 2 8 9" xfId="313"/>
    <cellStyle name="Normal 2 9" xfId="314"/>
    <cellStyle name="Normal 2 9 10" xfId="315"/>
    <cellStyle name="Normal 2 9 11" xfId="316"/>
    <cellStyle name="Normal 2 9 2" xfId="317"/>
    <cellStyle name="Normal 2 9 2 2" xfId="318"/>
    <cellStyle name="Normal 2 9 3" xfId="319"/>
    <cellStyle name="Normal 2 9 3 2" xfId="320"/>
    <cellStyle name="Normal 2 9 4" xfId="321"/>
    <cellStyle name="Normal 2 9 4 2" xfId="322"/>
    <cellStyle name="Normal 2 9 5" xfId="323"/>
    <cellStyle name="Normal 2 9 5 2" xfId="324"/>
    <cellStyle name="Normal 2 9 6" xfId="325"/>
    <cellStyle name="Normal 2 9 6 2" xfId="326"/>
    <cellStyle name="Normal 2 9 7" xfId="327"/>
    <cellStyle name="Normal 2 9 7 2" xfId="328"/>
    <cellStyle name="Normal 2 9 8" xfId="329"/>
    <cellStyle name="Normal 2 9 8 2" xfId="330"/>
    <cellStyle name="Normal 2 9 9" xfId="331"/>
    <cellStyle name="Normal 20" xfId="332"/>
    <cellStyle name="Normal 20 2" xfId="333"/>
    <cellStyle name="Normal 20 3" xfId="334"/>
    <cellStyle name="Normal 21" xfId="335"/>
    <cellStyle name="Normal 21 2"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2" xfId="351"/>
    <cellStyle name="Normal 3 2 2" xfId="352"/>
    <cellStyle name="Normal 3 2 2 2" xfId="353"/>
    <cellStyle name="Normal 3 2 2 3" xfId="354"/>
    <cellStyle name="Normal 3 2 3" xfId="355"/>
    <cellStyle name="Normal 3 2 4" xfId="356"/>
    <cellStyle name="Normal 3 2 5" xfId="357"/>
    <cellStyle name="Normal 3 3" xfId="358"/>
    <cellStyle name="Normal 3 3 2" xfId="359"/>
    <cellStyle name="Normal 3 3 2 2" xfId="360"/>
    <cellStyle name="Normal 3 3 2 3" xfId="361"/>
    <cellStyle name="Normal 3 3 3" xfId="362"/>
    <cellStyle name="Normal 3 3 4" xfId="363"/>
    <cellStyle name="Normal 3 4" xfId="364"/>
    <cellStyle name="Normal 3 5" xfId="365"/>
    <cellStyle name="Normal 3 6" xfId="366"/>
    <cellStyle name="Normal 3 7" xfId="367"/>
    <cellStyle name="Normal 3 8" xfId="368"/>
    <cellStyle name="Normal 3 9" xfId="369"/>
    <cellStyle name="Normal 4 2" xfId="370"/>
    <cellStyle name="Normal 4 2 2" xfId="371"/>
    <cellStyle name="Normal 4 2 2 2" xfId="372"/>
    <cellStyle name="Normal 4 2 2 3" xfId="373"/>
    <cellStyle name="Normal 4 2 3" xfId="374"/>
    <cellStyle name="Normal 4 2 4" xfId="375"/>
    <cellStyle name="Normal 4 2 5" xfId="376"/>
    <cellStyle name="Normal 4 3" xfId="377"/>
    <cellStyle name="Normal 4 3 2" xfId="378"/>
    <cellStyle name="Normal 4 3 3" xfId="379"/>
    <cellStyle name="Normal 4 4" xfId="380"/>
    <cellStyle name="Normal 4 5" xfId="381"/>
    <cellStyle name="Normal 4 6" xfId="382"/>
    <cellStyle name="Normal 5" xfId="383"/>
    <cellStyle name="Normal 5 2" xfId="384"/>
    <cellStyle name="Normal 5 3" xfId="385"/>
    <cellStyle name="Normal 5 3 2" xfId="386"/>
    <cellStyle name="Normal 5 3 3" xfId="387"/>
    <cellStyle name="Normal 5 4" xfId="388"/>
    <cellStyle name="Normal 5 5" xfId="389"/>
    <cellStyle name="Normal 6" xfId="390"/>
    <cellStyle name="Normal 6 2" xfId="391"/>
    <cellStyle name="Normal 6 3" xfId="392"/>
    <cellStyle name="Normal 6 4" xfId="393"/>
    <cellStyle name="Normal 6 5" xfId="394"/>
    <cellStyle name="Normal 7" xfId="395"/>
    <cellStyle name="Normal 7 2" xfId="396"/>
    <cellStyle name="Normal 7 2 2" xfId="397"/>
    <cellStyle name="Normal 7 2 2 2" xfId="398"/>
    <cellStyle name="Normal 7 2 3" xfId="399"/>
    <cellStyle name="Normal 7 2 4" xfId="400"/>
    <cellStyle name="Normal 7 2 5" xfId="401"/>
    <cellStyle name="Normal 7 3" xfId="402"/>
    <cellStyle name="Normal 7 4" xfId="403"/>
    <cellStyle name="Normal 7 4 2" xfId="404"/>
    <cellStyle name="Normal 7 4 3" xfId="405"/>
    <cellStyle name="Normal 7 5" xfId="406"/>
    <cellStyle name="Normal 7 5 2" xfId="407"/>
    <cellStyle name="Normal 7 5 3" xfId="408"/>
    <cellStyle name="Normal 7 5 4" xfId="409"/>
    <cellStyle name="Normal 7 6" xfId="410"/>
    <cellStyle name="Normal 7 7" xfId="411"/>
    <cellStyle name="Normal 8" xfId="412"/>
    <cellStyle name="Normal 8 2" xfId="413"/>
    <cellStyle name="Normal 9" xfId="414"/>
    <cellStyle name="Normal 9 2" xfId="415"/>
    <cellStyle name="Normal 9 2 2" xfId="416"/>
    <cellStyle name="Normal 9 3" xfId="417"/>
    <cellStyle name="Normal 9 4" xfId="418"/>
    <cellStyle name="Normal 9 5" xfId="419"/>
    <cellStyle name="Normal 9 6" xfId="420"/>
    <cellStyle name="Normal_debt" xfId="421"/>
    <cellStyle name="Normal_lpform" xfId="422"/>
    <cellStyle name="Normal_Township 07" xfId="423"/>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92"/>
  <sheetViews>
    <sheetView zoomScaleNormal="75" workbookViewId="0">
      <selection activeCell="H11" sqref="H11"/>
    </sheetView>
  </sheetViews>
  <sheetFormatPr defaultRowHeight="15.75"/>
  <cols>
    <col min="1" max="1" width="81.6640625" style="95" customWidth="1"/>
    <col min="2" max="16384" width="8.88671875" style="95"/>
  </cols>
  <sheetData>
    <row r="1" spans="1:2">
      <c r="A1" s="321" t="s">
        <v>445</v>
      </c>
      <c r="B1" s="322"/>
    </row>
    <row r="2" spans="1:2">
      <c r="A2" s="321"/>
      <c r="B2" s="322"/>
    </row>
    <row r="3" spans="1:2" ht="35.25" customHeight="1">
      <c r="A3" s="633" t="s">
        <v>77</v>
      </c>
    </row>
    <row r="4" spans="1:2">
      <c r="A4" s="323"/>
    </row>
    <row r="5" spans="1:2">
      <c r="A5" s="323" t="s">
        <v>596</v>
      </c>
    </row>
    <row r="6" spans="1:2">
      <c r="A6" s="323"/>
    </row>
    <row r="7" spans="1:2" ht="57.75" customHeight="1">
      <c r="A7" s="324" t="s">
        <v>634</v>
      </c>
    </row>
    <row r="8" spans="1:2">
      <c r="A8" s="323"/>
    </row>
    <row r="9" spans="1:2">
      <c r="A9" s="325" t="s">
        <v>590</v>
      </c>
      <c r="B9" s="322"/>
    </row>
    <row r="10" spans="1:2">
      <c r="A10" s="325"/>
      <c r="B10" s="322"/>
    </row>
    <row r="11" spans="1:2">
      <c r="A11" s="323" t="s">
        <v>591</v>
      </c>
      <c r="B11" s="322"/>
    </row>
    <row r="12" spans="1:2" ht="14.25" customHeight="1">
      <c r="A12" s="143"/>
    </row>
    <row r="13" spans="1:2" s="315" customFormat="1" ht="42" customHeight="1">
      <c r="A13" s="326" t="s">
        <v>635</v>
      </c>
    </row>
    <row r="16" spans="1:2">
      <c r="A16" s="325" t="s">
        <v>373</v>
      </c>
    </row>
    <row r="17" spans="1:1">
      <c r="A17" s="143"/>
    </row>
    <row r="18" spans="1:1">
      <c r="A18" s="251" t="s">
        <v>585</v>
      </c>
    </row>
    <row r="19" spans="1:1" ht="17.25" customHeight="1">
      <c r="A19" s="326" t="s">
        <v>497</v>
      </c>
    </row>
    <row r="20" spans="1:1" ht="24.75" customHeight="1">
      <c r="A20" s="327" t="s">
        <v>496</v>
      </c>
    </row>
    <row r="21" spans="1:1" ht="52.5" customHeight="1">
      <c r="A21" s="328" t="s">
        <v>498</v>
      </c>
    </row>
    <row r="22" spans="1:1" ht="20.25" customHeight="1">
      <c r="A22" s="329" t="s">
        <v>546</v>
      </c>
    </row>
    <row r="23" spans="1:1" s="330" customFormat="1" ht="20.25" customHeight="1">
      <c r="A23" s="286" t="s">
        <v>589</v>
      </c>
    </row>
    <row r="24" spans="1:1" ht="21" customHeight="1">
      <c r="A24" s="326" t="s">
        <v>444</v>
      </c>
    </row>
    <row r="25" spans="1:1">
      <c r="A25" s="143"/>
    </row>
    <row r="26" spans="1:1">
      <c r="A26" s="331" t="s">
        <v>374</v>
      </c>
    </row>
    <row r="28" spans="1:1" ht="21" customHeight="1">
      <c r="A28" s="315" t="s">
        <v>516</v>
      </c>
    </row>
    <row r="30" spans="1:1" ht="71.25" customHeight="1">
      <c r="A30" s="315" t="s">
        <v>69</v>
      </c>
    </row>
    <row r="31" spans="1:1" ht="49.5" customHeight="1">
      <c r="A31" s="332" t="s">
        <v>588</v>
      </c>
    </row>
    <row r="32" spans="1:1" ht="89.25" customHeight="1">
      <c r="A32" s="332" t="s">
        <v>276</v>
      </c>
    </row>
    <row r="33" spans="1:1" ht="15.75" customHeight="1">
      <c r="A33" s="332"/>
    </row>
    <row r="34" spans="1:1" ht="59.25" customHeight="1">
      <c r="A34" s="315" t="s">
        <v>278</v>
      </c>
    </row>
    <row r="35" spans="1:1" ht="51.75" customHeight="1">
      <c r="A35" s="315" t="s">
        <v>279</v>
      </c>
    </row>
    <row r="36" spans="1:1" ht="93.75" customHeight="1">
      <c r="A36" s="315" t="s">
        <v>280</v>
      </c>
    </row>
    <row r="37" spans="1:1" ht="15.75" customHeight="1">
      <c r="A37" s="332"/>
    </row>
    <row r="38" spans="1:1" ht="74.099999999999994" customHeight="1">
      <c r="A38" s="615" t="s">
        <v>286</v>
      </c>
    </row>
    <row r="39" spans="1:1" ht="65.25" customHeight="1">
      <c r="A39" s="616" t="s">
        <v>282</v>
      </c>
    </row>
    <row r="40" spans="1:1" ht="64.5" customHeight="1">
      <c r="A40" s="616" t="s">
        <v>283</v>
      </c>
    </row>
    <row r="41" spans="1:1">
      <c r="A41" s="315"/>
    </row>
    <row r="42" spans="1:1" ht="70.5" customHeight="1">
      <c r="A42" s="315" t="s">
        <v>328</v>
      </c>
    </row>
    <row r="43" spans="1:1" ht="70.5" customHeight="1">
      <c r="A43" s="315" t="s">
        <v>329</v>
      </c>
    </row>
    <row r="44" spans="1:1" ht="39" customHeight="1">
      <c r="A44" s="315" t="s">
        <v>70</v>
      </c>
    </row>
    <row r="45" spans="1:1">
      <c r="A45" s="315"/>
    </row>
    <row r="46" spans="1:1" ht="71.25" customHeight="1">
      <c r="A46" s="315" t="s">
        <v>330</v>
      </c>
    </row>
    <row r="47" spans="1:1" ht="104.25" customHeight="1">
      <c r="A47" s="315" t="s">
        <v>287</v>
      </c>
    </row>
    <row r="48" spans="1:1" ht="44.25" customHeight="1">
      <c r="A48" s="315" t="s">
        <v>331</v>
      </c>
    </row>
    <row r="50" spans="1:1" ht="51.75" customHeight="1">
      <c r="A50" s="315" t="s">
        <v>289</v>
      </c>
    </row>
    <row r="52" spans="1:1" ht="35.25" customHeight="1">
      <c r="A52" s="315" t="s">
        <v>332</v>
      </c>
    </row>
    <row r="53" spans="1:1" ht="23.25" customHeight="1">
      <c r="A53" s="95" t="s">
        <v>333</v>
      </c>
    </row>
    <row r="54" spans="1:1" ht="72.75" customHeight="1">
      <c r="A54" s="315" t="s">
        <v>91</v>
      </c>
    </row>
    <row r="55" spans="1:1" ht="25.5" customHeight="1">
      <c r="A55" s="315" t="s">
        <v>334</v>
      </c>
    </row>
    <row r="57" spans="1:1" ht="72" customHeight="1">
      <c r="A57" s="315" t="s">
        <v>80</v>
      </c>
    </row>
    <row r="59" spans="1:1" ht="67.5" customHeight="1">
      <c r="A59" s="315" t="s">
        <v>295</v>
      </c>
    </row>
    <row r="60" spans="1:1">
      <c r="A60" s="315"/>
    </row>
    <row r="61" spans="1:1" ht="53.25" customHeight="1">
      <c r="A61" s="315" t="s">
        <v>71</v>
      </c>
    </row>
    <row r="62" spans="1:1" ht="84" customHeight="1">
      <c r="A62" s="519" t="s">
        <v>291</v>
      </c>
    </row>
    <row r="63" spans="1:1" ht="70.5" customHeight="1">
      <c r="A63" s="519" t="s">
        <v>292</v>
      </c>
    </row>
    <row r="64" spans="1:1" ht="53.25" customHeight="1">
      <c r="A64" s="616" t="s">
        <v>293</v>
      </c>
    </row>
    <row r="65" spans="1:1" ht="69" customHeight="1">
      <c r="A65" s="315" t="s">
        <v>294</v>
      </c>
    </row>
    <row r="66" spans="1:1" ht="90" customHeight="1">
      <c r="A66" s="315" t="s">
        <v>1</v>
      </c>
    </row>
    <row r="67" spans="1:1" ht="113.25" customHeight="1">
      <c r="A67" s="334" t="s">
        <v>2</v>
      </c>
    </row>
    <row r="68" spans="1:1" ht="105.75" customHeight="1">
      <c r="A68" s="335" t="s">
        <v>3</v>
      </c>
    </row>
    <row r="69" spans="1:1" ht="77.25" customHeight="1">
      <c r="A69" s="336" t="s">
        <v>359</v>
      </c>
    </row>
    <row r="70" spans="1:1" ht="91.5" customHeight="1">
      <c r="A70" s="315" t="s">
        <v>360</v>
      </c>
    </row>
    <row r="71" spans="1:1" ht="113.25" customHeight="1">
      <c r="A71" s="337" t="s">
        <v>361</v>
      </c>
    </row>
    <row r="72" spans="1:1" ht="11.25" customHeight="1">
      <c r="A72" s="315"/>
    </row>
    <row r="73" spans="1:1" ht="120.75" customHeight="1">
      <c r="A73" s="315" t="s">
        <v>81</v>
      </c>
    </row>
    <row r="74" spans="1:1" ht="108" customHeight="1">
      <c r="A74" s="333" t="s">
        <v>82</v>
      </c>
    </row>
    <row r="75" spans="1:1" ht="66" customHeight="1">
      <c r="A75" s="333" t="s">
        <v>83</v>
      </c>
    </row>
    <row r="76" spans="1:1" ht="21" customHeight="1">
      <c r="A76" s="315" t="s">
        <v>84</v>
      </c>
    </row>
    <row r="77" spans="1:1" ht="11.25" customHeight="1">
      <c r="A77" s="315"/>
    </row>
    <row r="78" spans="1:1" s="315" customFormat="1" ht="50.25" customHeight="1">
      <c r="A78" s="315" t="s">
        <v>85</v>
      </c>
    </row>
    <row r="79" spans="1:1" s="315" customFormat="1" ht="23.25" customHeight="1">
      <c r="A79" s="315" t="s">
        <v>88</v>
      </c>
    </row>
    <row r="80" spans="1:1" s="315" customFormat="1" ht="36.75" customHeight="1">
      <c r="A80" s="519" t="s">
        <v>296</v>
      </c>
    </row>
    <row r="81" spans="1:1" s="315" customFormat="1" ht="103.5" customHeight="1">
      <c r="A81" s="519" t="s">
        <v>297</v>
      </c>
    </row>
    <row r="82" spans="1:1" s="315" customFormat="1" ht="138.75" customHeight="1">
      <c r="A82" s="315" t="s">
        <v>298</v>
      </c>
    </row>
    <row r="83" spans="1:1" s="315" customFormat="1" ht="72" customHeight="1">
      <c r="A83" s="315" t="s">
        <v>299</v>
      </c>
    </row>
    <row r="84" spans="1:1" s="315" customFormat="1" ht="72" customHeight="1">
      <c r="A84" s="618" t="s">
        <v>0</v>
      </c>
    </row>
    <row r="86" spans="1:1" s="315" customFormat="1" ht="33.75" customHeight="1">
      <c r="A86" s="315" t="s">
        <v>86</v>
      </c>
    </row>
    <row r="88" spans="1:1" ht="21.75" customHeight="1">
      <c r="A88" s="315" t="s">
        <v>87</v>
      </c>
    </row>
    <row r="90" spans="1:1" ht="49.5" customHeight="1">
      <c r="A90" s="519" t="s">
        <v>233</v>
      </c>
    </row>
    <row r="91" spans="1:1" ht="81.75" customHeight="1">
      <c r="A91" s="519" t="s">
        <v>234</v>
      </c>
    </row>
    <row r="92" spans="1:1" ht="97.5" customHeight="1">
      <c r="A92" s="519" t="s">
        <v>235</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7" man="1"/>
  </rowBreaks>
</worksheet>
</file>

<file path=xl/worksheets/sheet2.xml><?xml version="1.0" encoding="utf-8"?>
<worksheet xmlns="http://schemas.openxmlformats.org/spreadsheetml/2006/main" xmlns:r="http://schemas.openxmlformats.org/officeDocument/2006/relationships">
  <sheetPr>
    <pageSetUpPr fitToPage="1"/>
  </sheetPr>
  <dimension ref="A1:H52"/>
  <sheetViews>
    <sheetView topLeftCell="A23" workbookViewId="0">
      <selection activeCell="D26" sqref="D2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6" width="1.77734375" style="16" customWidth="1"/>
    <col min="7" max="7" width="18.6640625" style="16" customWidth="1"/>
    <col min="8" max="16384" width="8.88671875" style="16"/>
  </cols>
  <sheetData>
    <row r="1" spans="1:8">
      <c r="A1" s="641" t="s">
        <v>375</v>
      </c>
      <c r="B1" s="642"/>
      <c r="C1" s="642"/>
      <c r="D1" s="642"/>
      <c r="E1" s="642"/>
    </row>
    <row r="2" spans="1:8">
      <c r="A2" s="17"/>
      <c r="B2" s="18"/>
      <c r="C2" s="18"/>
      <c r="D2" s="18"/>
      <c r="E2" s="18"/>
    </row>
    <row r="3" spans="1:8">
      <c r="A3" s="19" t="s">
        <v>499</v>
      </c>
      <c r="B3" s="18"/>
      <c r="C3" s="18"/>
      <c r="D3" s="522" t="s">
        <v>336</v>
      </c>
      <c r="E3" s="20"/>
    </row>
    <row r="4" spans="1:8">
      <c r="A4" s="19" t="s">
        <v>594</v>
      </c>
      <c r="B4" s="18"/>
      <c r="C4" s="18"/>
      <c r="D4" s="523" t="s">
        <v>335</v>
      </c>
      <c r="E4" s="20"/>
    </row>
    <row r="5" spans="1:8">
      <c r="A5" s="17"/>
      <c r="B5" s="18"/>
      <c r="C5" s="18"/>
      <c r="D5" s="21"/>
      <c r="E5" s="20"/>
    </row>
    <row r="6" spans="1:8">
      <c r="A6" s="19" t="s">
        <v>519</v>
      </c>
      <c r="B6" s="18"/>
      <c r="C6" s="18"/>
      <c r="D6" s="22">
        <v>2014</v>
      </c>
      <c r="E6" s="20"/>
    </row>
    <row r="7" spans="1:8">
      <c r="A7" s="18"/>
      <c r="B7" s="18"/>
      <c r="C7" s="18"/>
      <c r="D7" s="18"/>
      <c r="E7" s="18"/>
    </row>
    <row r="8" spans="1:8">
      <c r="A8" s="643" t="s">
        <v>575</v>
      </c>
      <c r="B8" s="644"/>
      <c r="C8" s="644"/>
      <c r="D8" s="644"/>
      <c r="E8" s="644"/>
    </row>
    <row r="9" spans="1:8">
      <c r="A9" s="23" t="s">
        <v>446</v>
      </c>
      <c r="B9" s="24"/>
      <c r="C9" s="24"/>
      <c r="D9" s="24"/>
      <c r="E9" s="24"/>
    </row>
    <row r="10" spans="1:8">
      <c r="A10" s="645" t="s">
        <v>574</v>
      </c>
      <c r="B10" s="646"/>
      <c r="C10" s="646"/>
      <c r="D10" s="646"/>
      <c r="E10" s="646"/>
      <c r="F10" s="18"/>
      <c r="G10" s="634" t="s">
        <v>247</v>
      </c>
      <c r="H10" s="635"/>
    </row>
    <row r="11" spans="1:8">
      <c r="A11" s="25"/>
      <c r="B11" s="18"/>
      <c r="C11" s="18"/>
      <c r="D11" s="18"/>
      <c r="E11" s="18"/>
      <c r="F11" s="18"/>
      <c r="G11" s="636"/>
      <c r="H11" s="635"/>
    </row>
    <row r="12" spans="1:8">
      <c r="A12" s="639" t="s">
        <v>563</v>
      </c>
      <c r="B12" s="640"/>
      <c r="C12" s="640"/>
      <c r="D12" s="640"/>
      <c r="E12" s="640"/>
      <c r="F12" s="18"/>
      <c r="G12" s="636"/>
      <c r="H12" s="635"/>
    </row>
    <row r="13" spans="1:8">
      <c r="A13" s="25"/>
      <c r="B13" s="18"/>
      <c r="C13" s="18"/>
      <c r="D13" s="18"/>
      <c r="E13" s="18"/>
      <c r="F13" s="18"/>
      <c r="G13" s="636"/>
      <c r="H13" s="635"/>
    </row>
    <row r="14" spans="1:8">
      <c r="A14" s="26" t="s">
        <v>523</v>
      </c>
      <c r="B14" s="27"/>
      <c r="C14" s="18"/>
      <c r="D14" s="18"/>
      <c r="E14" s="18"/>
      <c r="F14" s="18"/>
      <c r="G14" s="636"/>
      <c r="H14" s="635"/>
    </row>
    <row r="15" spans="1:8">
      <c r="A15" s="28" t="str">
        <f>CONCATENATE("the ",D6-1," Budget, Certificate Page:")</f>
        <v>the 2013 Budget, Certificate Page:</v>
      </c>
      <c r="B15" s="29"/>
      <c r="C15" s="18"/>
      <c r="D15" s="18"/>
      <c r="E15" s="18"/>
      <c r="F15" s="18"/>
      <c r="G15" s="636"/>
      <c r="H15" s="635"/>
    </row>
    <row r="16" spans="1:8">
      <c r="A16" s="28" t="s">
        <v>643</v>
      </c>
      <c r="B16" s="29"/>
      <c r="C16" s="18"/>
      <c r="D16" s="18"/>
      <c r="E16" s="18"/>
      <c r="F16" s="18"/>
      <c r="G16" s="69"/>
      <c r="H16" s="52"/>
    </row>
    <row r="17" spans="1:8">
      <c r="A17" s="18"/>
      <c r="B17" s="18"/>
      <c r="C17" s="30"/>
      <c r="D17" s="31">
        <f>D6-1</f>
        <v>2013</v>
      </c>
      <c r="E17" s="647" t="str">
        <f>CONCATENATE("Amount of ",D6-2,"     Ad Valorem Tax")</f>
        <v>Amount of 2012     Ad Valorem Tax</v>
      </c>
      <c r="G17" s="102" t="s">
        <v>248</v>
      </c>
      <c r="H17" s="111" t="s">
        <v>411</v>
      </c>
    </row>
    <row r="18" spans="1:8">
      <c r="A18" s="17" t="s">
        <v>376</v>
      </c>
      <c r="B18" s="18"/>
      <c r="C18" s="30" t="s">
        <v>377</v>
      </c>
      <c r="D18" s="32" t="s">
        <v>644</v>
      </c>
      <c r="E18" s="648"/>
      <c r="G18" s="114" t="str">
        <f>CONCATENATE("",D6-2," Ad Valorem Tax")</f>
        <v>2012 Ad Valorem Tax</v>
      </c>
      <c r="H18" s="534">
        <v>0</v>
      </c>
    </row>
    <row r="19" spans="1:8">
      <c r="A19" s="18"/>
      <c r="B19" s="33" t="s">
        <v>378</v>
      </c>
      <c r="C19" s="609"/>
      <c r="D19" s="35">
        <v>48473</v>
      </c>
      <c r="E19" s="35">
        <v>36193</v>
      </c>
      <c r="G19" s="45">
        <f>IF(H18&gt;0,ROUND(E19-(E19*H18),0),0)</f>
        <v>0</v>
      </c>
    </row>
    <row r="20" spans="1:8">
      <c r="A20" s="18"/>
      <c r="B20" s="33" t="s">
        <v>639</v>
      </c>
      <c r="C20" s="111" t="s">
        <v>525</v>
      </c>
      <c r="D20" s="35"/>
      <c r="E20" s="35"/>
      <c r="G20" s="45">
        <f>IF(H18&gt;0,ROUND(E20-(E20*H18),0),0)</f>
        <v>0</v>
      </c>
    </row>
    <row r="21" spans="1:8">
      <c r="A21" s="17" t="s">
        <v>379</v>
      </c>
      <c r="B21" s="18"/>
      <c r="C21" s="18"/>
      <c r="D21" s="37"/>
      <c r="E21" s="38"/>
    </row>
    <row r="22" spans="1:8">
      <c r="A22" s="18"/>
      <c r="B22" s="34"/>
      <c r="C22" s="392"/>
      <c r="D22" s="35"/>
      <c r="E22" s="35"/>
      <c r="G22" s="45">
        <f>IF(H18&gt;0,ROUND(E22-(E22*H18),0),0)</f>
        <v>0</v>
      </c>
    </row>
    <row r="23" spans="1:8">
      <c r="A23" s="18"/>
      <c r="B23" s="34"/>
      <c r="C23" s="392"/>
      <c r="D23" s="35"/>
      <c r="E23" s="35"/>
      <c r="G23" s="45">
        <f>IF(H18&gt;0,ROUND(E23-(E23*H18),0),0)</f>
        <v>0</v>
      </c>
    </row>
    <row r="24" spans="1:8">
      <c r="A24" s="39" t="str">
        <f>CONCATENATE("Total Ad Valorem Tax for ",D6-1," Budgeted Year")</f>
        <v>Total Ad Valorem Tax for 2013 Budgeted Year</v>
      </c>
      <c r="B24" s="40"/>
      <c r="C24" s="40"/>
      <c r="D24" s="41"/>
      <c r="E24" s="42">
        <f>SUM(E19:E20,E22:E23)</f>
        <v>36193</v>
      </c>
    </row>
    <row r="25" spans="1:8">
      <c r="A25" s="43" t="s">
        <v>380</v>
      </c>
      <c r="B25" s="18"/>
      <c r="C25" s="18"/>
      <c r="D25" s="18"/>
      <c r="E25" s="18"/>
    </row>
    <row r="26" spans="1:8">
      <c r="A26" s="18"/>
      <c r="B26" s="34"/>
      <c r="C26" s="18"/>
      <c r="D26" s="35"/>
      <c r="E26" s="18"/>
    </row>
    <row r="27" spans="1:8">
      <c r="A27" s="18"/>
      <c r="B27" s="34"/>
      <c r="C27" s="18"/>
      <c r="D27" s="35"/>
      <c r="E27" s="18"/>
    </row>
    <row r="28" spans="1:8">
      <c r="A28" s="40" t="str">
        <f>CONCATENATE("Total Expenditures for ",D6-1," Budgeted Year")</f>
        <v>Total Expenditures for 2013 Budgeted Year</v>
      </c>
      <c r="B28" s="40"/>
      <c r="C28" s="44"/>
      <c r="D28" s="45">
        <f>SUM(D19:D20,D22:D23,D26:D27)</f>
        <v>48473</v>
      </c>
      <c r="E28" s="37"/>
    </row>
    <row r="29" spans="1:8">
      <c r="A29" s="18" t="s">
        <v>611</v>
      </c>
      <c r="B29" s="18"/>
      <c r="C29" s="18"/>
      <c r="D29" s="18"/>
      <c r="E29" s="37"/>
    </row>
    <row r="30" spans="1:8">
      <c r="A30" s="18">
        <v>1</v>
      </c>
      <c r="B30" s="46"/>
      <c r="C30" s="18"/>
      <c r="D30" s="18"/>
      <c r="E30" s="37"/>
    </row>
    <row r="31" spans="1:8">
      <c r="A31" s="18">
        <v>2</v>
      </c>
      <c r="B31" s="46"/>
      <c r="C31" s="18"/>
      <c r="D31" s="18"/>
      <c r="E31" s="37"/>
    </row>
    <row r="32" spans="1:8">
      <c r="A32" s="18">
        <v>3</v>
      </c>
      <c r="B32" s="46"/>
      <c r="C32" s="18"/>
      <c r="D32" s="18"/>
      <c r="E32" s="37"/>
    </row>
    <row r="33" spans="1:5">
      <c r="A33" s="18">
        <v>4</v>
      </c>
      <c r="B33" s="46"/>
      <c r="C33" s="18"/>
      <c r="D33" s="18"/>
      <c r="E33" s="37"/>
    </row>
    <row r="34" spans="1:5">
      <c r="A34" s="18">
        <v>5</v>
      </c>
      <c r="B34" s="46"/>
      <c r="C34" s="18"/>
      <c r="D34" s="18"/>
      <c r="E34" s="37"/>
    </row>
    <row r="35" spans="1:5">
      <c r="A35" s="18"/>
      <c r="B35" s="18"/>
      <c r="C35" s="18"/>
      <c r="D35" s="18"/>
      <c r="E35" s="37"/>
    </row>
    <row r="36" spans="1:5">
      <c r="A36" s="26" t="s">
        <v>523</v>
      </c>
      <c r="B36" s="27"/>
      <c r="C36" s="18"/>
      <c r="D36" s="637" t="str">
        <f>CONCATENATE("",D6-3," Tax Rate          (",D6-2," Column)")</f>
        <v>2011 Tax Rate          (2012 Column)</v>
      </c>
      <c r="E36" s="37"/>
    </row>
    <row r="37" spans="1:5">
      <c r="A37" s="28" t="str">
        <f>CONCATENATE("the ",D6-1," Budget, Budget Summary Page:")</f>
        <v>the 2013 Budget, Budget Summary Page:</v>
      </c>
      <c r="B37" s="29"/>
      <c r="C37" s="18"/>
      <c r="D37" s="638"/>
      <c r="E37" s="37"/>
    </row>
    <row r="38" spans="1:5">
      <c r="A38" s="18"/>
      <c r="B38" s="36" t="str">
        <f>B19</f>
        <v>General</v>
      </c>
      <c r="C38" s="18"/>
      <c r="D38" s="47">
        <v>0.89700000000000002</v>
      </c>
      <c r="E38" s="37"/>
    </row>
    <row r="39" spans="1:5">
      <c r="A39" s="18"/>
      <c r="B39" s="36" t="str">
        <f>B20</f>
        <v>Debt Service</v>
      </c>
      <c r="C39" s="18"/>
      <c r="D39" s="47"/>
      <c r="E39" s="37"/>
    </row>
    <row r="40" spans="1:5">
      <c r="A40" s="18"/>
      <c r="B40" s="36">
        <f>B22</f>
        <v>0</v>
      </c>
      <c r="C40" s="18"/>
      <c r="D40" s="47"/>
      <c r="E40" s="37"/>
    </row>
    <row r="41" spans="1:5">
      <c r="A41" s="18"/>
      <c r="B41" s="36">
        <f>B23</f>
        <v>0</v>
      </c>
      <c r="C41" s="18"/>
      <c r="D41" s="47"/>
      <c r="E41" s="37"/>
    </row>
    <row r="42" spans="1:5" ht="16.5" thickBot="1">
      <c r="A42" s="17" t="s">
        <v>381</v>
      </c>
      <c r="B42" s="18"/>
      <c r="C42" s="18"/>
      <c r="D42" s="48">
        <f>SUM(D38:D41)</f>
        <v>0.89700000000000002</v>
      </c>
      <c r="E42" s="37"/>
    </row>
    <row r="43" spans="1:5" ht="16.5" thickTop="1">
      <c r="A43" s="18"/>
      <c r="B43" s="18"/>
      <c r="C43" s="18"/>
      <c r="D43" s="18"/>
      <c r="E43" s="37"/>
    </row>
    <row r="44" spans="1:5">
      <c r="A44" s="49" t="str">
        <f>CONCATENATE("Total Tax Levied (",D6-2," budget column)")</f>
        <v>Total Tax Levied (2012 budget column)</v>
      </c>
      <c r="B44" s="27"/>
      <c r="C44" s="18"/>
      <c r="D44" s="18"/>
      <c r="E44" s="50">
        <v>45482</v>
      </c>
    </row>
    <row r="45" spans="1:5">
      <c r="A45" s="49" t="str">
        <f>CONCATENATE("Assessed Valuation (",D6-2," budget column)")</f>
        <v>Assessed Valuation (2012 budget column)</v>
      </c>
      <c r="B45" s="27"/>
      <c r="C45" s="18"/>
      <c r="D45" s="18"/>
      <c r="E45" s="51">
        <v>32075459</v>
      </c>
    </row>
    <row r="46" spans="1:5">
      <c r="A46" s="18"/>
      <c r="B46" s="18"/>
      <c r="C46" s="18"/>
      <c r="D46" s="18"/>
      <c r="E46" s="37"/>
    </row>
    <row r="47" spans="1:5">
      <c r="A47" s="27" t="s">
        <v>576</v>
      </c>
      <c r="B47" s="27"/>
      <c r="C47" s="52"/>
      <c r="D47" s="53">
        <f>D6-3</f>
        <v>2011</v>
      </c>
      <c r="E47" s="53">
        <f>D6-2</f>
        <v>2012</v>
      </c>
    </row>
    <row r="48" spans="1:5">
      <c r="A48" s="54" t="s">
        <v>520</v>
      </c>
      <c r="B48" s="54"/>
      <c r="C48" s="55"/>
      <c r="D48" s="56"/>
      <c r="E48" s="56"/>
    </row>
    <row r="49" spans="1:5">
      <c r="A49" s="57" t="s">
        <v>521</v>
      </c>
      <c r="B49" s="57"/>
      <c r="C49" s="58"/>
      <c r="D49" s="56"/>
      <c r="E49" s="56"/>
    </row>
    <row r="50" spans="1:5">
      <c r="A50" s="57" t="s">
        <v>205</v>
      </c>
      <c r="B50" s="57"/>
      <c r="C50" s="58"/>
      <c r="D50" s="56"/>
      <c r="E50" s="56"/>
    </row>
    <row r="51" spans="1:5">
      <c r="A51" s="57" t="s">
        <v>522</v>
      </c>
      <c r="B51" s="57"/>
      <c r="C51" s="58"/>
      <c r="D51" s="56"/>
      <c r="E51" s="56"/>
    </row>
    <row r="52" spans="1:5">
      <c r="A52" s="57"/>
      <c r="B52" s="57"/>
      <c r="C52" s="59"/>
      <c r="D52" s="56"/>
      <c r="E52" s="56"/>
    </row>
  </sheetData>
  <sheetProtection sheet="1"/>
  <mergeCells count="7">
    <mergeCell ref="G10:H15"/>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6"/>
  <sheetViews>
    <sheetView workbookViewId="0">
      <selection activeCell="B42" sqref="B42"/>
    </sheetView>
  </sheetViews>
  <sheetFormatPr defaultRowHeight="15"/>
  <cols>
    <col min="1" max="1" width="15.77734375" style="61" customWidth="1"/>
    <col min="2" max="2" width="20.77734375" style="61" customWidth="1"/>
    <col min="3" max="3" width="10.77734375" style="61" customWidth="1"/>
    <col min="4" max="4" width="15.6640625" style="61" customWidth="1"/>
    <col min="5" max="5" width="14.21875" style="61" customWidth="1"/>
    <col min="6" max="16384" width="8.88671875" style="61"/>
  </cols>
  <sheetData>
    <row r="1" spans="1:5" ht="15.75">
      <c r="A1" s="60" t="str">
        <f ca="1">inputPrYr!D3</f>
        <v>Crowm Hill Cemetery</v>
      </c>
      <c r="B1" s="60"/>
      <c r="C1" s="60"/>
      <c r="D1" s="60"/>
      <c r="E1" s="60">
        <f ca="1">inputPrYr!D6</f>
        <v>2014</v>
      </c>
    </row>
    <row r="2" spans="1:5" ht="15.75">
      <c r="A2" s="60" t="str">
        <f ca="1">inputPrYr!D4</f>
        <v xml:space="preserve">Comanche County </v>
      </c>
      <c r="B2" s="60"/>
      <c r="C2" s="60"/>
      <c r="D2" s="60"/>
      <c r="E2" s="60"/>
    </row>
    <row r="3" spans="1:5">
      <c r="A3" s="62"/>
      <c r="B3" s="62"/>
      <c r="C3" s="62"/>
      <c r="D3" s="62"/>
      <c r="E3" s="62"/>
    </row>
    <row r="4" spans="1:5" ht="15.75">
      <c r="A4" s="639" t="s">
        <v>563</v>
      </c>
      <c r="B4" s="640"/>
      <c r="C4" s="640"/>
      <c r="D4" s="640"/>
      <c r="E4" s="640"/>
    </row>
    <row r="5" spans="1:5">
      <c r="A5" s="62"/>
      <c r="B5" s="62"/>
      <c r="C5" s="62"/>
      <c r="D5" s="62"/>
      <c r="E5" s="62"/>
    </row>
    <row r="6" spans="1:5" ht="15.75">
      <c r="A6" s="63" t="str">
        <f>CONCATENATE("From the County Clerks ",E1," Budget Information:")</f>
        <v>From the County Clerks 2014 Budget Information:</v>
      </c>
      <c r="B6" s="64"/>
      <c r="C6" s="64"/>
      <c r="D6" s="18"/>
      <c r="E6" s="37"/>
    </row>
    <row r="7" spans="1:5" ht="15.75">
      <c r="A7" s="65" t="str">
        <f ca="1">CONCATENATE("Total Assessed Valuation for ",inputPrYr!D6-1,"")</f>
        <v>Total Assessed Valuation for 2013</v>
      </c>
      <c r="B7" s="40"/>
      <c r="C7" s="40"/>
      <c r="D7" s="40"/>
      <c r="E7" s="50">
        <v>45043731</v>
      </c>
    </row>
    <row r="8" spans="1:5" ht="15.75">
      <c r="A8" s="66" t="str">
        <f ca="1">CONCATENATE("New Improvements for ",inputPrYr!D6-1,"")</f>
        <v>New Improvements for 2013</v>
      </c>
      <c r="B8" s="67"/>
      <c r="C8" s="67"/>
      <c r="D8" s="67"/>
      <c r="E8" s="68">
        <v>127278</v>
      </c>
    </row>
    <row r="9" spans="1:5" ht="15.75">
      <c r="A9" s="66" t="str">
        <f ca="1">CONCATENATE("Personal Property excluding oil, gas, and mobile homes- ",inputPrYr!D6-1,"")</f>
        <v>Personal Property excluding oil, gas, and mobile homes- 2013</v>
      </c>
      <c r="B9" s="67"/>
      <c r="C9" s="67"/>
      <c r="D9" s="67"/>
      <c r="E9" s="68">
        <v>412427</v>
      </c>
    </row>
    <row r="10" spans="1:5" ht="15.75">
      <c r="A10" s="66" t="str">
        <f ca="1">CONCATENATE("Property that has changed in use for ",inputPrYr!D6-1,"")</f>
        <v>Property that has changed in use for 2013</v>
      </c>
      <c r="B10" s="67"/>
      <c r="C10" s="67"/>
      <c r="D10" s="67"/>
      <c r="E10" s="68">
        <v>95269</v>
      </c>
    </row>
    <row r="11" spans="1:5" ht="15.75">
      <c r="A11" s="65" t="str">
        <f ca="1">CONCATENATE("Personal Property excluding oil, gas, and mobile homes- ",inputPrYr!D6-2,"")</f>
        <v>Personal Property excluding oil, gas, and mobile homes- 2012</v>
      </c>
      <c r="B11" s="40"/>
      <c r="C11" s="40"/>
      <c r="D11" s="40"/>
      <c r="E11" s="68">
        <v>330344</v>
      </c>
    </row>
    <row r="12" spans="1:5" ht="15.75">
      <c r="A12" s="66" t="str">
        <f>CONCATENATE("Neighborhood Revitalization - ",E1,"")</f>
        <v>Neighborhood Revitalization - 2014</v>
      </c>
      <c r="B12" s="67"/>
      <c r="C12" s="67"/>
      <c r="D12" s="67"/>
      <c r="E12" s="68" t="s">
        <v>351</v>
      </c>
    </row>
    <row r="13" spans="1:5" ht="15.75">
      <c r="A13" s="43"/>
      <c r="B13" s="69"/>
      <c r="C13" s="69"/>
      <c r="D13" s="69"/>
      <c r="E13" s="70"/>
    </row>
    <row r="14" spans="1:5" ht="15.75">
      <c r="A14" s="71" t="str">
        <f>CONCATENATE("Actual Tax Rates for the ",E1-1," Budget:")</f>
        <v>Actual Tax Rates for the 2013 Budget:</v>
      </c>
      <c r="B14" s="69"/>
      <c r="C14" s="69"/>
      <c r="D14" s="69"/>
      <c r="E14" s="72"/>
    </row>
    <row r="15" spans="1:5" ht="15.75">
      <c r="A15" s="649" t="s">
        <v>394</v>
      </c>
      <c r="B15" s="644"/>
      <c r="C15" s="62"/>
      <c r="D15" s="73" t="s">
        <v>431</v>
      </c>
      <c r="E15" s="72"/>
    </row>
    <row r="16" spans="1:5" ht="15.75">
      <c r="A16" s="65" t="s">
        <v>378</v>
      </c>
      <c r="B16" s="40"/>
      <c r="C16" s="69"/>
      <c r="D16" s="74">
        <v>1.204</v>
      </c>
      <c r="E16" s="72"/>
    </row>
    <row r="17" spans="1:5" ht="15.75">
      <c r="A17" s="66" t="s">
        <v>639</v>
      </c>
      <c r="B17" s="67"/>
      <c r="C17" s="69"/>
      <c r="D17" s="75"/>
      <c r="E17" s="72"/>
    </row>
    <row r="18" spans="1:5" ht="15.75">
      <c r="A18" s="66">
        <f ca="1">inputPrYr!B22</f>
        <v>0</v>
      </c>
      <c r="B18" s="67"/>
      <c r="C18" s="69"/>
      <c r="D18" s="75"/>
      <c r="E18" s="72"/>
    </row>
    <row r="19" spans="1:5" ht="15.75">
      <c r="A19" s="66">
        <f ca="1">inputPrYr!B23</f>
        <v>0</v>
      </c>
      <c r="B19" s="67"/>
      <c r="C19" s="69"/>
      <c r="D19" s="75"/>
      <c r="E19" s="72"/>
    </row>
    <row r="20" spans="1:5" ht="15.75">
      <c r="A20" s="66"/>
      <c r="B20" s="67"/>
      <c r="C20" s="69"/>
      <c r="D20" s="75"/>
      <c r="E20" s="72"/>
    </row>
    <row r="21" spans="1:5" ht="15.75">
      <c r="A21" s="66"/>
      <c r="B21" s="67"/>
      <c r="C21" s="69"/>
      <c r="D21" s="76"/>
      <c r="E21" s="72"/>
    </row>
    <row r="22" spans="1:5" ht="15.75">
      <c r="A22" s="77"/>
      <c r="B22" s="40" t="s">
        <v>573</v>
      </c>
      <c r="C22" s="78"/>
      <c r="D22" s="79">
        <f>SUM(D16:D21)</f>
        <v>1.204</v>
      </c>
      <c r="E22" s="77"/>
    </row>
    <row r="23" spans="1:5">
      <c r="A23" s="77"/>
      <c r="B23" s="77"/>
      <c r="C23" s="77"/>
      <c r="D23" s="77"/>
      <c r="E23" s="77"/>
    </row>
    <row r="24" spans="1:5" ht="15.75">
      <c r="A24" s="40" t="str">
        <f>CONCATENATE("Final Assessed Valuation from the November 1, ",E1-2," Abstract")</f>
        <v>Final Assessed Valuation from the November 1, 2012 Abstract</v>
      </c>
      <c r="B24" s="80"/>
      <c r="C24" s="80"/>
      <c r="D24" s="80"/>
      <c r="E24" s="56">
        <v>30065504</v>
      </c>
    </row>
    <row r="25" spans="1:5">
      <c r="A25" s="77"/>
      <c r="B25" s="77"/>
      <c r="C25" s="77"/>
      <c r="D25" s="77"/>
      <c r="E25" s="77"/>
    </row>
    <row r="26" spans="1:5" ht="15.75">
      <c r="A26" s="81" t="str">
        <f>CONCATENATE("From the County Treasurer's Budget Information - ",E1," Budget Year Estimates:")</f>
        <v>From the County Treasurer's Budget Information - 2014 Budget Year Estimates:</v>
      </c>
      <c r="B26" s="27"/>
      <c r="C26" s="27"/>
      <c r="D26" s="82"/>
      <c r="E26" s="37"/>
    </row>
    <row r="27" spans="1:5" ht="15.75">
      <c r="A27" s="65" t="s">
        <v>382</v>
      </c>
      <c r="B27" s="40"/>
      <c r="C27" s="40"/>
      <c r="D27" s="83"/>
      <c r="E27" s="35">
        <v>1246.01</v>
      </c>
    </row>
    <row r="28" spans="1:5" ht="15.75">
      <c r="A28" s="66" t="s">
        <v>383</v>
      </c>
      <c r="B28" s="67"/>
      <c r="C28" s="67"/>
      <c r="D28" s="84"/>
      <c r="E28" s="35">
        <v>17.399999999999999</v>
      </c>
    </row>
    <row r="29" spans="1:5" ht="15.75">
      <c r="A29" s="66" t="s">
        <v>539</v>
      </c>
      <c r="B29" s="67"/>
      <c r="C29" s="67"/>
      <c r="D29" s="84"/>
      <c r="E29" s="35">
        <v>354.36</v>
      </c>
    </row>
    <row r="30" spans="1:5" ht="15.75">
      <c r="A30" s="66" t="s">
        <v>527</v>
      </c>
      <c r="B30" s="67"/>
      <c r="C30" s="67"/>
      <c r="D30" s="84"/>
      <c r="E30" s="35"/>
    </row>
    <row r="31" spans="1:5" ht="15.75">
      <c r="A31" s="65"/>
      <c r="B31" s="40"/>
      <c r="C31" s="40"/>
      <c r="D31" s="83"/>
      <c r="E31" s="35"/>
    </row>
    <row r="32" spans="1:5" ht="15.75">
      <c r="A32" s="18" t="s">
        <v>540</v>
      </c>
      <c r="B32" s="18"/>
      <c r="C32" s="18"/>
      <c r="D32" s="18"/>
      <c r="E32" s="18"/>
    </row>
    <row r="33" spans="1:5" ht="15.75">
      <c r="A33" s="85" t="s">
        <v>479</v>
      </c>
      <c r="B33" s="24"/>
      <c r="C33" s="24"/>
      <c r="D33" s="18"/>
      <c r="E33" s="18"/>
    </row>
    <row r="34" spans="1:5" ht="15.75">
      <c r="A34" s="65" t="str">
        <f>CONCATENATE("Actual Delinquency for ",E1-3," Tax - (rate .01213 = 1.213%, key in 1.2)")</f>
        <v>Actual Delinquency for 2011 Tax - (rate .01213 = 1.213%, key in 1.2)</v>
      </c>
      <c r="B34" s="40"/>
      <c r="C34" s="40"/>
      <c r="D34" s="44"/>
      <c r="E34" s="535">
        <v>0</v>
      </c>
    </row>
    <row r="35" spans="1:5" ht="15.75">
      <c r="A35" s="66" t="s">
        <v>249</v>
      </c>
      <c r="B35" s="86"/>
      <c r="C35" s="69"/>
      <c r="D35" s="69"/>
      <c r="E35" s="536">
        <v>0</v>
      </c>
    </row>
    <row r="36" spans="1:5" ht="15.75">
      <c r="A36" s="87" t="s">
        <v>541</v>
      </c>
      <c r="B36" s="87"/>
      <c r="C36" s="88"/>
      <c r="D36" s="88"/>
      <c r="E36" s="89"/>
    </row>
    <row r="37" spans="1:5">
      <c r="A37" s="62"/>
      <c r="B37" s="62"/>
      <c r="C37" s="62"/>
      <c r="D37" s="62"/>
      <c r="E37" s="62"/>
    </row>
    <row r="38" spans="1:5" ht="15.75">
      <c r="A38" s="650" t="str">
        <f>CONCATENATE("From the ",E1-2," Budget Certificate Page")</f>
        <v>From the 2012 Budget Certificate Page</v>
      </c>
      <c r="B38" s="651"/>
      <c r="C38" s="62"/>
      <c r="D38" s="62"/>
      <c r="E38" s="62"/>
    </row>
    <row r="39" spans="1:5" ht="15.75">
      <c r="A39" s="90"/>
      <c r="B39" s="90" t="str">
        <f>CONCATENATE("",E1-2," Expenditure Amounts")</f>
        <v>2012 Expenditure Amounts</v>
      </c>
      <c r="C39" s="652" t="str">
        <f>CONCATENATE("Note: If the ",E1-2," budget was amended, then the")</f>
        <v>Note: If the 2012 budget was amended, then the</v>
      </c>
      <c r="D39" s="653"/>
      <c r="E39" s="653"/>
    </row>
    <row r="40" spans="1:5" ht="15.75">
      <c r="A40" s="91" t="s">
        <v>579</v>
      </c>
      <c r="B40" s="91" t="s">
        <v>580</v>
      </c>
      <c r="C40" s="92" t="s">
        <v>581</v>
      </c>
      <c r="D40" s="93"/>
      <c r="E40" s="93"/>
    </row>
    <row r="41" spans="1:5" ht="15.75">
      <c r="A41" s="94" t="str">
        <f ca="1">inputPrYr!B19</f>
        <v>General</v>
      </c>
      <c r="B41" s="56">
        <v>45482</v>
      </c>
      <c r="C41" s="92" t="s">
        <v>582</v>
      </c>
      <c r="D41" s="93"/>
      <c r="E41" s="93"/>
    </row>
    <row r="42" spans="1:5" ht="15.75">
      <c r="A42" s="94" t="str">
        <f ca="1">inputPrYr!B20</f>
        <v>Debt Service</v>
      </c>
      <c r="B42" s="56"/>
      <c r="C42" s="92"/>
      <c r="D42" s="93"/>
      <c r="E42" s="93"/>
    </row>
    <row r="43" spans="1:5" ht="15.75">
      <c r="A43" s="94">
        <f ca="1">inputPrYr!B22</f>
        <v>0</v>
      </c>
      <c r="B43" s="56"/>
      <c r="C43" s="62"/>
      <c r="D43" s="62"/>
      <c r="E43" s="62"/>
    </row>
    <row r="44" spans="1:5" ht="15.75">
      <c r="A44" s="94">
        <f ca="1">inputPrYr!B23</f>
        <v>0</v>
      </c>
      <c r="B44" s="56"/>
      <c r="C44" s="62"/>
      <c r="D44" s="62"/>
      <c r="E44" s="62"/>
    </row>
    <row r="45" spans="1:5" ht="15.75">
      <c r="A45" s="94">
        <f ca="1">inputPrYr!B26</f>
        <v>0</v>
      </c>
      <c r="B45" s="56"/>
      <c r="C45" s="62"/>
      <c r="D45" s="62"/>
      <c r="E45" s="62"/>
    </row>
    <row r="46" spans="1:5" ht="15.75">
      <c r="A46" s="94">
        <f ca="1">inputPrYr!B27</f>
        <v>0</v>
      </c>
      <c r="B46" s="56"/>
      <c r="C46" s="62"/>
      <c r="D46" s="62"/>
      <c r="E46" s="62"/>
    </row>
  </sheetData>
  <sheetProtection sheet="1"/>
  <mergeCells count="4">
    <mergeCell ref="A15:B15"/>
    <mergeCell ref="A4:E4"/>
    <mergeCell ref="A38:B38"/>
    <mergeCell ref="C39:E39"/>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5"/>
  <sheetViews>
    <sheetView workbookViewId="0">
      <selection activeCell="B11" sqref="B11"/>
    </sheetView>
  </sheetViews>
  <sheetFormatPr defaultRowHeight="15"/>
  <cols>
    <col min="1" max="1" width="13.77734375" customWidth="1"/>
    <col min="2" max="2" width="16.109375" customWidth="1"/>
  </cols>
  <sheetData>
    <row r="1" spans="1:10">
      <c r="J1" s="539" t="s">
        <v>253</v>
      </c>
    </row>
    <row r="2" spans="1:10" ht="54" customHeight="1">
      <c r="A2" s="654" t="s">
        <v>687</v>
      </c>
      <c r="B2" s="655"/>
      <c r="C2" s="655"/>
      <c r="D2" s="655"/>
      <c r="E2" s="655"/>
      <c r="F2" s="655"/>
      <c r="J2" s="539" t="s">
        <v>254</v>
      </c>
    </row>
    <row r="3" spans="1:10" ht="15.75">
      <c r="A3" s="537" t="s">
        <v>251</v>
      </c>
      <c r="B3" s="538" t="s">
        <v>337</v>
      </c>
      <c r="C3" s="538"/>
      <c r="J3" s="539" t="s">
        <v>255</v>
      </c>
    </row>
    <row r="4" spans="1:10" ht="15.75">
      <c r="A4" s="339"/>
      <c r="B4" s="339"/>
      <c r="C4" s="339"/>
      <c r="D4" s="340"/>
      <c r="E4" s="339"/>
      <c r="F4" s="339"/>
      <c r="J4" s="539" t="s">
        <v>256</v>
      </c>
    </row>
    <row r="5" spans="1:10" ht="15.75">
      <c r="A5" s="537" t="s">
        <v>252</v>
      </c>
      <c r="B5" s="538"/>
      <c r="C5" s="339"/>
      <c r="D5" s="340"/>
      <c r="E5" s="339"/>
      <c r="F5" s="339"/>
      <c r="J5" s="539" t="s">
        <v>257</v>
      </c>
    </row>
    <row r="6" spans="1:10" ht="15.75">
      <c r="A6" s="339"/>
      <c r="B6" s="339"/>
      <c r="C6" s="339"/>
      <c r="D6" s="340"/>
      <c r="E6" s="339"/>
      <c r="F6" s="339"/>
      <c r="J6" s="539" t="s">
        <v>258</v>
      </c>
    </row>
    <row r="7" spans="1:10" ht="15.75">
      <c r="A7" s="341" t="s">
        <v>688</v>
      </c>
      <c r="B7" s="342"/>
      <c r="C7" s="343"/>
      <c r="D7" s="341" t="s">
        <v>250</v>
      </c>
      <c r="E7" s="339"/>
      <c r="F7" s="339"/>
      <c r="J7" s="539" t="s">
        <v>259</v>
      </c>
    </row>
    <row r="8" spans="1:10" ht="15.75">
      <c r="A8" s="341"/>
      <c r="B8" s="344"/>
      <c r="C8" s="345"/>
      <c r="D8" s="540" t="str">
        <f>IF(B7="","",CONCATENATE("Latest date for notice to be published in your newspaper: ",G18," ",G22,", ",G23))</f>
        <v/>
      </c>
      <c r="E8" s="339"/>
      <c r="F8" s="339"/>
      <c r="J8" s="539" t="s">
        <v>260</v>
      </c>
    </row>
    <row r="9" spans="1:10" ht="15.75">
      <c r="A9" s="341" t="s">
        <v>689</v>
      </c>
      <c r="B9" s="342" t="s">
        <v>340</v>
      </c>
      <c r="C9" s="346"/>
      <c r="D9" s="341"/>
      <c r="E9" s="339"/>
      <c r="F9" s="339"/>
      <c r="J9" s="539" t="s">
        <v>261</v>
      </c>
    </row>
    <row r="10" spans="1:10" ht="15.75">
      <c r="A10" s="341"/>
      <c r="B10" s="341"/>
      <c r="C10" s="341"/>
      <c r="D10" s="341"/>
      <c r="E10" s="339"/>
      <c r="F10" s="339"/>
      <c r="J10" s="539" t="s">
        <v>262</v>
      </c>
    </row>
    <row r="11" spans="1:10" ht="15.75">
      <c r="A11" s="341" t="s">
        <v>690</v>
      </c>
      <c r="B11" s="347" t="s">
        <v>338</v>
      </c>
      <c r="C11" s="347"/>
      <c r="D11" s="347"/>
      <c r="E11" s="348"/>
      <c r="F11" s="339"/>
      <c r="J11" s="539" t="s">
        <v>263</v>
      </c>
    </row>
    <row r="12" spans="1:10" ht="15.75">
      <c r="A12" s="341"/>
      <c r="B12" s="341"/>
      <c r="C12" s="341"/>
      <c r="D12" s="341"/>
      <c r="E12" s="339"/>
      <c r="F12" s="339"/>
      <c r="J12" s="539" t="s">
        <v>264</v>
      </c>
    </row>
    <row r="13" spans="1:10" ht="15.75">
      <c r="A13" s="341"/>
      <c r="B13" s="341"/>
      <c r="C13" s="341"/>
      <c r="D13" s="341"/>
      <c r="E13" s="339"/>
      <c r="F13" s="339"/>
    </row>
    <row r="14" spans="1:10" ht="15.75">
      <c r="A14" s="341" t="s">
        <v>691</v>
      </c>
      <c r="B14" s="347" t="s">
        <v>339</v>
      </c>
      <c r="C14" s="347"/>
      <c r="D14" s="347"/>
      <c r="E14" s="348"/>
      <c r="F14" s="339"/>
    </row>
    <row r="17" spans="1:7" ht="15.75">
      <c r="A17" s="656" t="s">
        <v>692</v>
      </c>
      <c r="B17" s="656"/>
      <c r="C17" s="341"/>
      <c r="D17" s="341"/>
      <c r="E17" s="341"/>
      <c r="F17" s="339"/>
    </row>
    <row r="18" spans="1:7" ht="15.75">
      <c r="A18" s="341"/>
      <c r="B18" s="341"/>
      <c r="C18" s="341"/>
      <c r="D18" s="341"/>
      <c r="E18" s="341"/>
      <c r="F18" s="339"/>
      <c r="G18" s="539" t="str">
        <f ca="1">IF(B7="","",INDIRECT(G19))</f>
        <v/>
      </c>
    </row>
    <row r="19" spans="1:7" ht="15.75">
      <c r="A19" s="341" t="s">
        <v>688</v>
      </c>
      <c r="B19" s="344" t="s">
        <v>693</v>
      </c>
      <c r="C19" s="341"/>
      <c r="D19" s="341"/>
      <c r="E19" s="341"/>
      <c r="G19" s="541" t="str">
        <f>IF(B7="","",CONCATENATE("J",G21))</f>
        <v/>
      </c>
    </row>
    <row r="20" spans="1:7" ht="15.75">
      <c r="A20" s="341"/>
      <c r="B20" s="341"/>
      <c r="C20" s="341"/>
      <c r="D20" s="341"/>
      <c r="E20" s="341"/>
      <c r="G20" s="542">
        <f>B7-10</f>
        <v>-10</v>
      </c>
    </row>
    <row r="21" spans="1:7" ht="15.75">
      <c r="A21" s="341" t="s">
        <v>689</v>
      </c>
      <c r="B21" s="341" t="s">
        <v>694</v>
      </c>
      <c r="C21" s="341"/>
      <c r="D21" s="341"/>
      <c r="E21" s="341"/>
      <c r="G21" s="543" t="str">
        <f>IF(B7="","",MONTH(G20))</f>
        <v/>
      </c>
    </row>
    <row r="22" spans="1:7" ht="15.75">
      <c r="A22" s="341"/>
      <c r="B22" s="341"/>
      <c r="C22" s="341"/>
      <c r="D22" s="341"/>
      <c r="E22" s="341"/>
      <c r="G22" s="544" t="str">
        <f>IF(B7="","",DAY(G20))</f>
        <v/>
      </c>
    </row>
    <row r="23" spans="1:7" ht="15.75">
      <c r="A23" s="341" t="s">
        <v>690</v>
      </c>
      <c r="B23" s="341" t="s">
        <v>696</v>
      </c>
      <c r="C23" s="341"/>
      <c r="D23" s="341"/>
      <c r="E23" s="341"/>
      <c r="G23" s="545" t="str">
        <f>IF(B7="","",YEAR(G20))</f>
        <v/>
      </c>
    </row>
    <row r="24" spans="1:7" ht="15.75">
      <c r="A24" s="341"/>
      <c r="B24" s="341"/>
      <c r="C24" s="341"/>
      <c r="D24" s="341"/>
      <c r="E24" s="341"/>
    </row>
    <row r="25" spans="1:7" ht="15.75">
      <c r="A25" s="341" t="s">
        <v>691</v>
      </c>
      <c r="B25" s="341" t="s">
        <v>695</v>
      </c>
      <c r="C25" s="341"/>
      <c r="D25" s="341"/>
      <c r="E25" s="341"/>
    </row>
  </sheetData>
  <sheetProtection sheet="1"/>
  <mergeCells count="2">
    <mergeCell ref="A2:F2"/>
    <mergeCell ref="A17:B17"/>
  </mergeCells>
  <phoneticPr fontId="0" type="noConversion"/>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5"/>
  <sheetViews>
    <sheetView topLeftCell="A18" workbookViewId="0">
      <selection activeCell="O25" sqref="O25"/>
    </sheetView>
  </sheetViews>
  <sheetFormatPr defaultRowHeight="15.75"/>
  <cols>
    <col min="1" max="1" width="11.77734375" style="95" customWidth="1"/>
    <col min="2" max="3" width="9.77734375" style="95" customWidth="1"/>
    <col min="4" max="4" width="8.77734375" style="95" customWidth="1"/>
    <col min="5" max="7" width="14.77734375" style="95" customWidth="1"/>
    <col min="8" max="8" width="2.6640625" style="95" customWidth="1"/>
    <col min="9" max="9" width="3.21875" style="95" customWidth="1"/>
    <col min="10" max="16384" width="8.88671875" style="95"/>
  </cols>
  <sheetData>
    <row r="1" spans="1:8">
      <c r="A1" s="60"/>
      <c r="B1" s="60"/>
      <c r="C1" s="60"/>
      <c r="D1" s="60"/>
      <c r="E1" s="60"/>
      <c r="F1" s="60"/>
      <c r="G1" s="60"/>
    </row>
    <row r="2" spans="1:8">
      <c r="A2" s="660" t="s">
        <v>447</v>
      </c>
      <c r="B2" s="660"/>
      <c r="C2" s="660"/>
      <c r="D2" s="660"/>
      <c r="E2" s="660"/>
      <c r="F2" s="660"/>
      <c r="G2" s="660"/>
    </row>
    <row r="3" spans="1:8">
      <c r="A3" s="18"/>
      <c r="B3" s="18"/>
      <c r="C3" s="18"/>
      <c r="D3" s="18"/>
      <c r="E3" s="18"/>
      <c r="F3" s="18"/>
      <c r="G3" s="60">
        <f ca="1">inputPrYr!D6</f>
        <v>2014</v>
      </c>
    </row>
    <row r="4" spans="1:8">
      <c r="A4" s="661" t="str">
        <f ca="1">CONCATENATE("To the Clerk of ",inputPrYr!D4,", State of Kansas")</f>
        <v>To the Clerk of Comanche County , State of Kansas</v>
      </c>
      <c r="B4" s="661"/>
      <c r="C4" s="661"/>
      <c r="D4" s="661"/>
      <c r="E4" s="661"/>
      <c r="F4" s="661"/>
      <c r="G4" s="661"/>
    </row>
    <row r="5" spans="1:8">
      <c r="A5" s="97" t="s">
        <v>524</v>
      </c>
      <c r="B5" s="24"/>
      <c r="C5" s="24"/>
      <c r="D5" s="24"/>
      <c r="E5" s="24"/>
      <c r="F5" s="24"/>
      <c r="G5" s="24"/>
    </row>
    <row r="6" spans="1:8">
      <c r="A6" s="641" t="str">
        <f ca="1">inputPrYr!D3</f>
        <v>Crowm Hill Cemetery</v>
      </c>
      <c r="B6" s="641"/>
      <c r="C6" s="641"/>
      <c r="D6" s="641"/>
      <c r="E6" s="641"/>
      <c r="F6" s="641"/>
      <c r="G6" s="641"/>
    </row>
    <row r="7" spans="1:8">
      <c r="A7" s="18"/>
      <c r="B7" s="18"/>
      <c r="C7" s="18"/>
      <c r="D7" s="18"/>
      <c r="E7" s="18"/>
      <c r="F7" s="18"/>
      <c r="G7" s="18"/>
    </row>
    <row r="8" spans="1:8">
      <c r="A8" s="97" t="s">
        <v>384</v>
      </c>
      <c r="B8" s="24"/>
      <c r="C8" s="24"/>
      <c r="D8" s="24"/>
      <c r="E8" s="24"/>
      <c r="F8" s="24"/>
      <c r="G8" s="24"/>
    </row>
    <row r="9" spans="1:8">
      <c r="A9" s="97" t="s">
        <v>385</v>
      </c>
      <c r="B9" s="24"/>
      <c r="C9" s="24"/>
      <c r="D9" s="24"/>
      <c r="E9" s="24"/>
      <c r="F9" s="24"/>
      <c r="G9" s="24"/>
    </row>
    <row r="10" spans="1:8">
      <c r="A10" s="97" t="str">
        <f>CONCATENATE("maximum expenditures for the various funds for the year ",G3,"; and (3) the")</f>
        <v>maximum expenditures for the various funds for the year 2014; and (3) the</v>
      </c>
      <c r="B10" s="24"/>
      <c r="C10" s="24"/>
      <c r="D10" s="24"/>
      <c r="E10" s="24"/>
      <c r="F10" s="24"/>
      <c r="G10" s="24"/>
    </row>
    <row r="11" spans="1:8">
      <c r="A11" s="97" t="str">
        <f>CONCATENATE("Amount(s) of ",G3-1," Ad Valorem Tax are within statutory  limitations for the ",G3," Budget.")</f>
        <v>Amount(s) of 2013 Ad Valorem Tax are within statutory  limitations for the 2014 Budget.</v>
      </c>
      <c r="B11" s="24"/>
      <c r="C11" s="24"/>
      <c r="D11" s="24"/>
      <c r="E11" s="24"/>
      <c r="F11" s="24"/>
      <c r="G11" s="24"/>
    </row>
    <row r="12" spans="1:8">
      <c r="A12" s="17"/>
      <c r="B12" s="18"/>
      <c r="C12" s="18"/>
      <c r="D12" s="99"/>
      <c r="E12" s="100"/>
      <c r="F12" s="100"/>
      <c r="G12" s="100"/>
    </row>
    <row r="13" spans="1:8">
      <c r="A13" s="18"/>
      <c r="B13" s="18"/>
      <c r="C13" s="18"/>
      <c r="D13" s="18"/>
      <c r="E13" s="662" t="str">
        <f>CONCATENATE("",G3," Adopted Budget")</f>
        <v>2014 Adopted Budget</v>
      </c>
      <c r="F13" s="663"/>
      <c r="G13" s="664"/>
    </row>
    <row r="14" spans="1:8">
      <c r="A14" s="17"/>
      <c r="B14" s="18"/>
      <c r="C14" s="18"/>
      <c r="D14" s="40"/>
      <c r="E14" s="101" t="s">
        <v>386</v>
      </c>
      <c r="F14" s="102"/>
      <c r="G14" s="103" t="s">
        <v>387</v>
      </c>
      <c r="H14" s="104"/>
    </row>
    <row r="15" spans="1:8">
      <c r="A15" s="18"/>
      <c r="B15" s="18"/>
      <c r="C15" s="18"/>
      <c r="D15" s="102" t="s">
        <v>388</v>
      </c>
      <c r="E15" s="105" t="s">
        <v>580</v>
      </c>
      <c r="F15" s="665" t="str">
        <f>CONCATENATE("Amount of ",G3-1," Ad Valorem Tax")</f>
        <v>Amount of 2013 Ad Valorem Tax</v>
      </c>
      <c r="G15" s="103" t="s">
        <v>389</v>
      </c>
    </row>
    <row r="16" spans="1:8">
      <c r="A16" s="17" t="s">
        <v>390</v>
      </c>
      <c r="B16" s="18"/>
      <c r="C16" s="18"/>
      <c r="D16" s="105" t="s">
        <v>391</v>
      </c>
      <c r="E16" s="105" t="s">
        <v>102</v>
      </c>
      <c r="F16" s="665"/>
      <c r="G16" s="103" t="s">
        <v>393</v>
      </c>
    </row>
    <row r="17" spans="1:7" ht="4.5" customHeight="1">
      <c r="A17" s="106"/>
      <c r="B17" s="106"/>
      <c r="C17" s="106"/>
      <c r="D17" s="107"/>
      <c r="E17" s="107"/>
      <c r="F17" s="108"/>
      <c r="G17" s="109"/>
    </row>
    <row r="18" spans="1:7">
      <c r="A18" s="110" t="str">
        <f>CONCATENATE("Computation to Determine Limit for ",G3,"")</f>
        <v>Computation to Determine Limit for 2014</v>
      </c>
      <c r="B18" s="106"/>
      <c r="C18" s="106"/>
      <c r="D18" s="111">
        <v>2</v>
      </c>
      <c r="E18" s="100"/>
      <c r="F18" s="100"/>
      <c r="G18" s="112"/>
    </row>
    <row r="19" spans="1:7">
      <c r="A19" s="113" t="s">
        <v>272</v>
      </c>
      <c r="B19" s="106"/>
      <c r="C19" s="106"/>
      <c r="D19" s="111">
        <v>3</v>
      </c>
      <c r="E19" s="100"/>
      <c r="F19" s="100"/>
      <c r="G19" s="112"/>
    </row>
    <row r="20" spans="1:7">
      <c r="A20" s="113" t="s">
        <v>513</v>
      </c>
      <c r="B20" s="106"/>
      <c r="C20" s="106"/>
      <c r="D20" s="114">
        <v>4</v>
      </c>
      <c r="E20" s="100"/>
      <c r="F20" s="100"/>
      <c r="G20" s="112"/>
    </row>
    <row r="21" spans="1:7">
      <c r="A21" s="110" t="s">
        <v>512</v>
      </c>
      <c r="B21" s="106"/>
      <c r="C21" s="106"/>
      <c r="D21" s="114">
        <v>5</v>
      </c>
      <c r="E21" s="100"/>
      <c r="F21" s="100"/>
      <c r="G21" s="112"/>
    </row>
    <row r="22" spans="1:7">
      <c r="A22" s="115" t="s">
        <v>394</v>
      </c>
      <c r="B22" s="116"/>
      <c r="C22" s="117" t="s">
        <v>395</v>
      </c>
      <c r="D22" s="111"/>
      <c r="E22" s="118"/>
      <c r="F22" s="40"/>
      <c r="G22" s="44"/>
    </row>
    <row r="23" spans="1:7">
      <c r="A23" s="119" t="s">
        <v>378</v>
      </c>
      <c r="B23" s="116"/>
      <c r="C23" s="111">
        <f ca="1">inputPrYr!C19</f>
        <v>0</v>
      </c>
      <c r="D23" s="120">
        <v>6</v>
      </c>
      <c r="E23" s="558">
        <f ca="1">IF(gen!$E$61&lt;&gt;0,gen!$E$61,"  ")</f>
        <v>47562</v>
      </c>
      <c r="F23" s="558">
        <f ca="1">IF(gen!$E$68&lt;&gt;0,gen!$E$68,"  ")</f>
        <v>37325.489999999991</v>
      </c>
      <c r="G23" s="559" t="str">
        <f ca="1">IF(AND(gen!E68=0,$G$32&gt;=0)," ",IF(AND(F23&gt;0,$G$32=0)," ",IF(AND(F23&gt;0,$G$32&gt;0),ROUND(F23/$G$32*1000,3))))</f>
        <v xml:space="preserve"> </v>
      </c>
    </row>
    <row r="24" spans="1:7">
      <c r="A24" s="119" t="s">
        <v>639</v>
      </c>
      <c r="B24" s="116"/>
      <c r="C24" s="111" t="s">
        <v>525</v>
      </c>
      <c r="D24" s="120" t="str">
        <f ca="1">IF(DebtService!C62&gt;0,DebtService!C62," ")</f>
        <v xml:space="preserve"> </v>
      </c>
      <c r="E24" s="243" t="str">
        <f ca="1">IF(DebtService!$E$53&lt;&gt;0,DebtService!$E$53,"  ")</f>
        <v xml:space="preserve">  </v>
      </c>
      <c r="F24" s="243" t="str">
        <f ca="1">IF(DebtService!$E$60&lt;&gt;0,DebtService!$E$60,"  ")</f>
        <v xml:space="preserve">  </v>
      </c>
      <c r="G24" s="559" t="str">
        <f ca="1">IF(AND(DebtService!E60=0,$G$32&gt;=0)," ",IF(AND(F24&gt;0,$G$32=0)," ",IF(AND(F24&gt;0,$G$32&gt;0),ROUND(F24/$G$32*1000,3))))</f>
        <v xml:space="preserve"> </v>
      </c>
    </row>
    <row r="25" spans="1:7">
      <c r="A25" s="121" t="str">
        <f ca="1">IF(inputPrYr!$B$22&gt;"  ",inputPrYr!$B$22,"  ")</f>
        <v xml:space="preserve">  </v>
      </c>
      <c r="B25" s="116"/>
      <c r="C25" s="111" t="str">
        <f ca="1">IF(inputPrYr!C22&gt;0,inputPrYr!C22,"  ")</f>
        <v xml:space="preserve">  </v>
      </c>
      <c r="D25" s="120" t="str">
        <f ca="1">IF(levypage8!C80&gt;0,levypage8!C80," ")</f>
        <v xml:space="preserve"> </v>
      </c>
      <c r="E25" s="243" t="str">
        <f ca="1">IF(levypage8!$E$33&lt;&gt;0,levypage8!$E$33,"  ")</f>
        <v xml:space="preserve">  </v>
      </c>
      <c r="F25" s="243" t="str">
        <f ca="1">IF(levypage8!$E$40&lt;&gt;0,levypage8!$E$40,"  ")</f>
        <v xml:space="preserve">  </v>
      </c>
      <c r="G25" s="559" t="str">
        <f ca="1">IF(AND(levypage8!E40=0,$G$32&gt;=0)," ",IF(AND(F25&gt;0,$G$32=0)," ",IF(AND(F25&gt;0,$G$32&gt;0),ROUND(F25/$G$32*1000,3))))</f>
        <v xml:space="preserve"> </v>
      </c>
    </row>
    <row r="26" spans="1:7">
      <c r="A26" s="121" t="str">
        <f ca="1">IF(inputPrYr!$B$23&gt;"  ",inputPrYr!$B$23,"  ")</f>
        <v xml:space="preserve">  </v>
      </c>
      <c r="B26" s="116"/>
      <c r="C26" s="111" t="str">
        <f ca="1">IF(inputPrYr!C23&gt;0,inputPrYr!C23,"  ")</f>
        <v xml:space="preserve">  </v>
      </c>
      <c r="D26" s="120" t="str">
        <f ca="1">IF(levypage8!C80&gt;0,levypage8!C80," ")</f>
        <v xml:space="preserve"> </v>
      </c>
      <c r="E26" s="243" t="str">
        <f ca="1">IF(levypage8!$E$71&lt;&gt;0,levypage8!$E$71,"  ")</f>
        <v xml:space="preserve">  </v>
      </c>
      <c r="F26" s="243" t="str">
        <f ca="1">IF(levypage8!$E$78&lt;&gt;0,levypage8!$E$78,"  ")</f>
        <v xml:space="preserve">  </v>
      </c>
      <c r="G26" s="559" t="str">
        <f ca="1">IF(AND(levypage8!E78=0,$G$32&gt;=0)," ",IF(AND(F26&gt;0,$G$32=0)," ",IF(AND(F26&gt;0,$G$32&gt;0),ROUND(F26/$G$32*1000,3))))</f>
        <v xml:space="preserve"> </v>
      </c>
    </row>
    <row r="27" spans="1:7">
      <c r="A27" s="121" t="str">
        <f ca="1">IF(inputPrYr!$B$26&gt;"  ",inputPrYr!$B$26,"  ")</f>
        <v xml:space="preserve">  </v>
      </c>
      <c r="B27" s="67"/>
      <c r="C27" s="122"/>
      <c r="D27" s="120" t="str">
        <f ca="1">IF(nolevypage9!C70&gt;0,nolevypage9!C70," ")</f>
        <v xml:space="preserve"> </v>
      </c>
      <c r="E27" s="243" t="str">
        <f ca="1">IF(nolevypage9!$E$31&lt;&gt;0,nolevypage9!$E$31,"  ")</f>
        <v xml:space="preserve">  </v>
      </c>
      <c r="F27" s="560"/>
      <c r="G27" s="559"/>
    </row>
    <row r="28" spans="1:7">
      <c r="A28" s="124" t="str">
        <f ca="1">IF(inputPrYr!$B$27&gt;"  ",inputPrYr!$B$27,"  ")</f>
        <v xml:space="preserve">  </v>
      </c>
      <c r="B28" s="125"/>
      <c r="C28" s="122"/>
      <c r="D28" s="120" t="str">
        <f ca="1">IF(nolevypage9!C70&gt;0,nolevypage9!C70," ")</f>
        <v xml:space="preserve"> </v>
      </c>
      <c r="E28" s="243" t="str">
        <f ca="1">IF(nolevypage9!$E$64&lt;&gt;0,nolevypage9!$E$64,"  ")</f>
        <v xml:space="preserve">  </v>
      </c>
      <c r="F28" s="560"/>
      <c r="G28" s="559"/>
    </row>
    <row r="29" spans="1:7">
      <c r="A29" s="124" t="str">
        <f ca="1">IF((inputPrYr!$B$30&gt;" "),(NonBud!$A$3),"")</f>
        <v/>
      </c>
      <c r="B29" s="125"/>
      <c r="C29" s="103"/>
      <c r="D29" s="120" t="str">
        <f ca="1">IF(NonBud!F33&gt;0,NonBud!F33,"")</f>
        <v/>
      </c>
      <c r="E29" s="561"/>
      <c r="F29" s="562"/>
      <c r="G29" s="563"/>
    </row>
    <row r="30" spans="1:7">
      <c r="A30" s="127" t="s">
        <v>502</v>
      </c>
      <c r="B30" s="67"/>
      <c r="C30" s="116"/>
      <c r="D30" s="128" t="s">
        <v>396</v>
      </c>
      <c r="E30" s="564">
        <f>SUM(E23:E28)</f>
        <v>47562</v>
      </c>
      <c r="F30" s="565">
        <f>SUM(F23:F28)</f>
        <v>37325.489999999991</v>
      </c>
      <c r="G30" s="566" t="str">
        <f>IF(SUM(G23:G28)=0,"",SUM(G23:G28))</f>
        <v/>
      </c>
    </row>
    <row r="31" spans="1:7">
      <c r="A31" s="119" t="s">
        <v>572</v>
      </c>
      <c r="B31" s="67"/>
      <c r="C31" s="116"/>
      <c r="D31" s="131">
        <f ca="1">summ!E41</f>
        <v>0</v>
      </c>
      <c r="E31" s="135" t="s">
        <v>567</v>
      </c>
      <c r="F31" s="383" t="str">
        <f ca="1">IF(F30&gt;computation!J34,"Yes","No")</f>
        <v>Yes</v>
      </c>
      <c r="G31" s="384" t="s">
        <v>504</v>
      </c>
    </row>
    <row r="32" spans="1:7">
      <c r="A32" s="119" t="s">
        <v>587</v>
      </c>
      <c r="B32" s="133"/>
      <c r="C32" s="134"/>
      <c r="D32" s="131" t="str">
        <f ca="1">IF(Nhood!C35=0,"",Nhood!C35)</f>
        <v/>
      </c>
      <c r="E32" s="382"/>
      <c r="F32" s="69"/>
      <c r="G32" s="140"/>
    </row>
    <row r="33" spans="1:7">
      <c r="A33" s="136" t="s">
        <v>566</v>
      </c>
      <c r="B33" s="67"/>
      <c r="C33" s="116"/>
      <c r="D33" s="131" t="str">
        <f ca="1">IF(Resolution!E45=0,"",Resolution!E45)</f>
        <v/>
      </c>
      <c r="E33" s="60"/>
      <c r="F33" s="69"/>
      <c r="G33" s="666" t="str">
        <f>CONCATENATE("Nov. 1, ",G3-1," Total Assessed Valuation")</f>
        <v>Nov. 1, 2013 Total Assessed Valuation</v>
      </c>
    </row>
    <row r="34" spans="1:7">
      <c r="A34" s="20"/>
      <c r="B34" s="69"/>
      <c r="C34" s="18"/>
      <c r="D34" s="137"/>
      <c r="E34" s="60"/>
      <c r="F34" s="69"/>
      <c r="G34" s="667"/>
    </row>
    <row r="35" spans="1:7">
      <c r="A35" s="17" t="s">
        <v>105</v>
      </c>
      <c r="B35" s="69"/>
      <c r="C35" s="69"/>
      <c r="D35" s="69"/>
      <c r="E35" s="132"/>
      <c r="F35" s="69"/>
      <c r="G35" s="18"/>
    </row>
    <row r="36" spans="1:7">
      <c r="A36" s="520"/>
      <c r="B36" s="520"/>
      <c r="C36" s="69"/>
      <c r="D36" s="69"/>
      <c r="E36" s="139"/>
      <c r="F36" s="69"/>
      <c r="G36" s="18"/>
    </row>
    <row r="37" spans="1:7">
      <c r="A37" s="521"/>
      <c r="B37" s="521"/>
      <c r="C37" s="69"/>
      <c r="D37" s="69"/>
      <c r="E37" s="391"/>
      <c r="F37" s="69"/>
      <c r="G37" s="69"/>
    </row>
    <row r="38" spans="1:7">
      <c r="A38" s="20" t="s">
        <v>106</v>
      </c>
      <c r="B38" s="69"/>
      <c r="C38" s="69"/>
      <c r="D38" s="69"/>
      <c r="E38" s="553"/>
      <c r="F38" s="69"/>
      <c r="G38" s="69"/>
    </row>
    <row r="39" spans="1:7">
      <c r="A39" s="520"/>
      <c r="B39" s="520"/>
      <c r="C39" s="69"/>
      <c r="D39" s="69" t="s">
        <v>271</v>
      </c>
      <c r="E39" s="554"/>
      <c r="F39" s="554"/>
      <c r="G39" s="69"/>
    </row>
    <row r="40" spans="1:7">
      <c r="A40" s="521"/>
      <c r="B40" s="521"/>
      <c r="C40" s="52"/>
      <c r="D40" s="69"/>
      <c r="E40" s="554"/>
      <c r="F40" s="554"/>
      <c r="G40" s="69"/>
    </row>
    <row r="41" spans="1:7">
      <c r="A41" s="20" t="s">
        <v>270</v>
      </c>
      <c r="B41" s="69"/>
      <c r="C41" s="18"/>
      <c r="D41" s="69" t="s">
        <v>271</v>
      </c>
      <c r="E41" s="555"/>
      <c r="F41" s="69"/>
      <c r="G41" s="69"/>
    </row>
    <row r="42" spans="1:7">
      <c r="A42" s="521"/>
      <c r="B42" s="521"/>
      <c r="C42" s="17"/>
      <c r="D42" s="21"/>
      <c r="E42" s="141"/>
      <c r="F42" s="69"/>
      <c r="G42" s="69"/>
    </row>
    <row r="43" spans="1:7">
      <c r="A43" s="20"/>
      <c r="B43" s="69"/>
      <c r="C43" s="69"/>
      <c r="D43" s="69" t="s">
        <v>271</v>
      </c>
      <c r="E43" s="141"/>
      <c r="F43" s="556"/>
      <c r="G43" s="556"/>
    </row>
    <row r="44" spans="1:7">
      <c r="A44" s="20"/>
      <c r="B44" s="100"/>
      <c r="C44" s="69"/>
      <c r="D44" s="141"/>
      <c r="E44" s="141"/>
      <c r="F44" s="141"/>
      <c r="G44" s="141"/>
    </row>
    <row r="45" spans="1:7">
      <c r="A45" s="20"/>
      <c r="B45" s="69"/>
      <c r="C45" s="69"/>
      <c r="D45" s="69" t="s">
        <v>271</v>
      </c>
      <c r="E45" s="141"/>
      <c r="F45" s="556"/>
      <c r="G45" s="556"/>
    </row>
    <row r="46" spans="1:7">
      <c r="A46" s="69"/>
      <c r="B46" s="69"/>
      <c r="C46" s="69"/>
      <c r="D46" s="141"/>
      <c r="E46" s="141"/>
      <c r="F46" s="141"/>
      <c r="G46" s="141"/>
    </row>
    <row r="47" spans="1:7">
      <c r="A47" s="17" t="s">
        <v>564</v>
      </c>
      <c r="B47" s="18"/>
      <c r="C47" s="17">
        <f>G3-1</f>
        <v>2013</v>
      </c>
      <c r="D47" s="69" t="s">
        <v>271</v>
      </c>
      <c r="E47" s="69"/>
      <c r="F47" s="556"/>
      <c r="G47" s="556"/>
    </row>
    <row r="48" spans="1:7">
      <c r="A48" s="141"/>
      <c r="B48" s="69"/>
      <c r="C48" s="17"/>
      <c r="D48" s="69"/>
      <c r="E48" s="69"/>
      <c r="F48" s="557"/>
      <c r="G48" s="557"/>
    </row>
    <row r="49" spans="1:7">
      <c r="A49" s="668"/>
      <c r="B49" s="669"/>
      <c r="C49" s="18"/>
      <c r="D49" s="69" t="s">
        <v>271</v>
      </c>
      <c r="E49" s="69"/>
      <c r="F49" s="69"/>
      <c r="G49" s="69"/>
    </row>
    <row r="50" spans="1:7">
      <c r="A50" s="24" t="s">
        <v>398</v>
      </c>
      <c r="B50" s="24"/>
      <c r="C50" s="18"/>
      <c r="D50" s="670" t="s">
        <v>397</v>
      </c>
      <c r="E50" s="671"/>
      <c r="F50" s="671"/>
      <c r="G50" s="671"/>
    </row>
    <row r="51" spans="1:7">
      <c r="A51" s="657"/>
      <c r="B51" s="657"/>
      <c r="C51" s="657"/>
      <c r="D51" s="657"/>
      <c r="E51" s="657"/>
      <c r="F51" s="657"/>
      <c r="G51" s="657"/>
    </row>
    <row r="52" spans="1:7">
      <c r="A52" s="658"/>
      <c r="B52" s="658"/>
      <c r="C52" s="658"/>
      <c r="D52" s="658"/>
      <c r="E52" s="658"/>
      <c r="F52" s="658"/>
      <c r="G52" s="658"/>
    </row>
    <row r="53" spans="1:7">
      <c r="A53" s="16"/>
      <c r="B53" s="16"/>
      <c r="C53" s="16"/>
      <c r="D53" s="16"/>
      <c r="E53" s="16"/>
      <c r="F53" s="16"/>
      <c r="G53" s="659"/>
    </row>
    <row r="54" spans="1:7">
      <c r="A54" s="16"/>
      <c r="B54" s="16"/>
      <c r="C54" s="16"/>
      <c r="D54" s="16"/>
      <c r="E54" s="16"/>
      <c r="F54" s="16"/>
      <c r="G54" s="659"/>
    </row>
    <row r="55" spans="1:7">
      <c r="A55" s="16"/>
      <c r="B55" s="16"/>
      <c r="C55" s="16"/>
      <c r="D55" s="16"/>
      <c r="E55" s="16"/>
      <c r="F55" s="16"/>
      <c r="G55" s="659"/>
    </row>
    <row r="56" spans="1:7">
      <c r="A56" s="16"/>
      <c r="B56" s="16"/>
      <c r="C56" s="16"/>
      <c r="D56" s="16"/>
      <c r="E56" s="16"/>
      <c r="F56" s="16"/>
      <c r="G56" s="659"/>
    </row>
    <row r="57" spans="1:7">
      <c r="A57" s="16"/>
      <c r="B57" s="16"/>
      <c r="C57" s="16"/>
      <c r="D57" s="142"/>
      <c r="E57" s="16"/>
      <c r="F57" s="16"/>
      <c r="G57" s="659"/>
    </row>
    <row r="58" spans="1:7">
      <c r="G58" s="659"/>
    </row>
    <row r="59" spans="1:7">
      <c r="G59" s="659"/>
    </row>
    <row r="60" spans="1:7">
      <c r="G60" s="659"/>
    </row>
    <row r="61" spans="1:7">
      <c r="G61" s="659"/>
    </row>
    <row r="62" spans="1:7">
      <c r="G62" s="659"/>
    </row>
    <row r="63" spans="1:7">
      <c r="G63" s="659"/>
    </row>
    <row r="64" spans="1:7">
      <c r="G64" s="659"/>
    </row>
    <row r="65" spans="7:7">
      <c r="G65" s="659"/>
    </row>
  </sheetData>
  <mergeCells count="16">
    <mergeCell ref="G53:G65"/>
    <mergeCell ref="A2:G2"/>
    <mergeCell ref="A4:G4"/>
    <mergeCell ref="A6:G6"/>
    <mergeCell ref="E13:G13"/>
    <mergeCell ref="F15:F16"/>
    <mergeCell ref="G33:G34"/>
    <mergeCell ref="A49:B49"/>
    <mergeCell ref="D50:G50"/>
    <mergeCell ref="G51:G52"/>
    <mergeCell ref="E51:E52"/>
    <mergeCell ref="F51:F52"/>
    <mergeCell ref="A51:A52"/>
    <mergeCell ref="B51:B52"/>
    <mergeCell ref="C51:C52"/>
    <mergeCell ref="D51:D52"/>
  </mergeCells>
  <phoneticPr fontId="0" type="noConversion"/>
  <pageMargins left="1.25" right="0.5" top="0" bottom="0.5" header="0" footer="0.5"/>
  <pageSetup scale="74"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J37"/>
  <sheetViews>
    <sheetView topLeftCell="A8" zoomScale="85" workbookViewId="0">
      <selection activeCell="E22" sqref="E22"/>
    </sheetView>
  </sheetViews>
  <sheetFormatPr defaultRowHeight="15.95" customHeight="1"/>
  <cols>
    <col min="1" max="2" width="3.33203125" style="143" customWidth="1"/>
    <col min="3" max="3" width="31.33203125" style="143" customWidth="1"/>
    <col min="4" max="4" width="2.33203125" style="143" customWidth="1"/>
    <col min="5" max="5" width="15.77734375" style="143" customWidth="1"/>
    <col min="6" max="6" width="2" style="143" customWidth="1"/>
    <col min="7" max="7" width="15.77734375" style="143" customWidth="1"/>
    <col min="8" max="8" width="1.88671875" style="143" customWidth="1"/>
    <col min="9" max="9" width="1.77734375" style="143" customWidth="1"/>
    <col min="10" max="10" width="15.77734375" style="143" customWidth="1"/>
    <col min="11" max="16384" width="8.88671875" style="143"/>
  </cols>
  <sheetData>
    <row r="1" spans="1:10" ht="15.95" customHeight="1">
      <c r="A1" s="18"/>
      <c r="B1" s="18"/>
      <c r="C1" s="18" t="str">
        <f ca="1">inputPrYr!D3</f>
        <v>Crowm Hill Cemetery</v>
      </c>
      <c r="D1" s="18"/>
      <c r="E1" s="18"/>
      <c r="F1" s="18"/>
      <c r="G1" s="18"/>
      <c r="H1" s="18"/>
      <c r="I1" s="18"/>
      <c r="J1" s="18">
        <f ca="1">inputPrYr!D6</f>
        <v>2014</v>
      </c>
    </row>
    <row r="2" spans="1:10" ht="15.95" customHeight="1">
      <c r="A2" s="18"/>
      <c r="B2" s="18"/>
      <c r="C2" s="18" t="str">
        <f ca="1">inputPrYr!D4</f>
        <v xml:space="preserve">Comanche County </v>
      </c>
      <c r="D2" s="18"/>
      <c r="E2" s="18"/>
      <c r="F2" s="18"/>
      <c r="G2" s="18"/>
      <c r="H2" s="18"/>
      <c r="I2" s="18"/>
      <c r="J2" s="18"/>
    </row>
    <row r="3" spans="1:10" ht="15.75">
      <c r="A3" s="643" t="str">
        <f>CONCATENATE("Computation to Determine Limit for ",J1,"")</f>
        <v>Computation to Determine Limit for 2014</v>
      </c>
      <c r="B3" s="660"/>
      <c r="C3" s="660"/>
      <c r="D3" s="660"/>
      <c r="E3" s="660"/>
      <c r="F3" s="660"/>
      <c r="G3" s="660"/>
      <c r="H3" s="660"/>
      <c r="I3" s="660"/>
      <c r="J3" s="660"/>
    </row>
    <row r="4" spans="1:10" ht="15.75">
      <c r="A4" s="18"/>
      <c r="B4" s="18"/>
      <c r="C4" s="18"/>
      <c r="D4" s="18"/>
      <c r="E4" s="660"/>
      <c r="F4" s="660"/>
      <c r="G4" s="660"/>
      <c r="H4" s="96"/>
      <c r="I4" s="18"/>
      <c r="J4" s="144" t="s">
        <v>458</v>
      </c>
    </row>
    <row r="5" spans="1:10" ht="15.75">
      <c r="A5" s="145" t="s">
        <v>459</v>
      </c>
      <c r="B5" s="18" t="str">
        <f>CONCATENATE("Total Tax Levy Amount in ",J1-1," Budget")</f>
        <v>Total Tax Levy Amount in 2013 Budget</v>
      </c>
      <c r="C5" s="18"/>
      <c r="D5" s="18"/>
      <c r="E5" s="37"/>
      <c r="F5" s="37"/>
      <c r="G5" s="37"/>
      <c r="H5" s="146" t="s">
        <v>460</v>
      </c>
      <c r="I5" s="37" t="s">
        <v>461</v>
      </c>
      <c r="J5" s="361">
        <f ca="1">inputPrYr!E24</f>
        <v>36193</v>
      </c>
    </row>
    <row r="6" spans="1:10" ht="15.75">
      <c r="A6" s="145" t="s">
        <v>462</v>
      </c>
      <c r="B6" s="18" t="str">
        <f>CONCATENATE("Debt Service Levy in ",J1-1," Budget")</f>
        <v>Debt Service Levy in 2013 Budget</v>
      </c>
      <c r="C6" s="18"/>
      <c r="D6" s="18"/>
      <c r="E6" s="37"/>
      <c r="F6" s="37"/>
      <c r="G6" s="37"/>
      <c r="H6" s="146" t="s">
        <v>463</v>
      </c>
      <c r="I6" s="37" t="s">
        <v>461</v>
      </c>
      <c r="J6" s="147">
        <f ca="1">inputPrYr!E20</f>
        <v>0</v>
      </c>
    </row>
    <row r="7" spans="1:10" ht="15.75">
      <c r="A7" s="145" t="s">
        <v>487</v>
      </c>
      <c r="B7" s="25" t="s">
        <v>481</v>
      </c>
      <c r="C7" s="18"/>
      <c r="D7" s="18"/>
      <c r="E7" s="37"/>
      <c r="F7" s="37"/>
      <c r="G7" s="37"/>
      <c r="H7" s="37"/>
      <c r="I7" s="37" t="s">
        <v>461</v>
      </c>
      <c r="J7" s="41">
        <f>J5-J6</f>
        <v>36193</v>
      </c>
    </row>
    <row r="8" spans="1:10" ht="15.75">
      <c r="A8" s="18"/>
      <c r="B8" s="18"/>
      <c r="C8" s="18"/>
      <c r="D8" s="18"/>
      <c r="E8" s="37"/>
      <c r="F8" s="37"/>
      <c r="G8" s="37"/>
      <c r="H8" s="37"/>
      <c r="I8" s="37"/>
      <c r="J8" s="37"/>
    </row>
    <row r="9" spans="1:10" ht="15.75">
      <c r="A9" s="18"/>
      <c r="B9" s="25" t="str">
        <f>CONCATENATE("",J1-1," Valuation Information for Valuation Adjustments:")</f>
        <v>2013 Valuation Information for Valuation Adjustments:</v>
      </c>
      <c r="C9" s="18"/>
      <c r="D9" s="18"/>
      <c r="E9" s="37"/>
      <c r="F9" s="37"/>
      <c r="G9" s="37"/>
      <c r="H9" s="37"/>
      <c r="I9" s="37"/>
      <c r="J9" s="37"/>
    </row>
    <row r="10" spans="1:10" ht="15.75">
      <c r="A10" s="18"/>
      <c r="B10" s="18"/>
      <c r="C10" s="25"/>
      <c r="D10" s="18"/>
      <c r="E10" s="37"/>
      <c r="F10" s="37"/>
      <c r="G10" s="37"/>
      <c r="H10" s="37"/>
      <c r="I10" s="37"/>
      <c r="J10" s="37"/>
    </row>
    <row r="11" spans="1:10" ht="15.75">
      <c r="A11" s="145" t="s">
        <v>464</v>
      </c>
      <c r="B11" s="25" t="str">
        <f>CONCATENATE("New Improvements for ",J1-1,":")</f>
        <v>New Improvements for 2013:</v>
      </c>
      <c r="C11" s="18"/>
      <c r="D11" s="18"/>
      <c r="E11" s="146"/>
      <c r="F11" s="146" t="s">
        <v>460</v>
      </c>
      <c r="G11" s="148">
        <f ca="1">inputOth!E8</f>
        <v>127278</v>
      </c>
      <c r="H11" s="149"/>
      <c r="I11" s="37"/>
      <c r="J11" s="37"/>
    </row>
    <row r="12" spans="1:10" ht="15.75">
      <c r="A12" s="145"/>
      <c r="B12" s="145"/>
      <c r="C12" s="18"/>
      <c r="D12" s="18"/>
      <c r="E12" s="146"/>
      <c r="F12" s="146"/>
      <c r="G12" s="149"/>
      <c r="H12" s="149"/>
      <c r="I12" s="37"/>
      <c r="J12" s="37"/>
    </row>
    <row r="13" spans="1:10" ht="15.75">
      <c r="A13" s="145" t="s">
        <v>465</v>
      </c>
      <c r="B13" s="25" t="str">
        <f>CONCATENATE("Increase in Personal Property for ",J1-1,":")</f>
        <v>Increase in Personal Property for 2013:</v>
      </c>
      <c r="C13" s="18"/>
      <c r="D13" s="18"/>
      <c r="E13" s="146"/>
      <c r="F13" s="146"/>
      <c r="G13" s="149"/>
      <c r="H13" s="149"/>
      <c r="I13" s="37"/>
      <c r="J13" s="37"/>
    </row>
    <row r="14" spans="1:10" ht="15.75">
      <c r="A14" s="18"/>
      <c r="B14" s="18" t="s">
        <v>466</v>
      </c>
      <c r="C14" s="18" t="str">
        <f>CONCATENATE("Personal Property ",J1-1,"")</f>
        <v>Personal Property 2013</v>
      </c>
      <c r="D14" s="145" t="s">
        <v>460</v>
      </c>
      <c r="E14" s="148">
        <f ca="1">inputOth!E9</f>
        <v>412427</v>
      </c>
      <c r="F14" s="146"/>
      <c r="G14" s="37"/>
      <c r="H14" s="37"/>
      <c r="I14" s="149"/>
      <c r="J14" s="37"/>
    </row>
    <row r="15" spans="1:10" ht="15.75">
      <c r="A15" s="145"/>
      <c r="B15" s="18" t="s">
        <v>467</v>
      </c>
      <c r="C15" s="18" t="str">
        <f>CONCATENATE("Personal Property ",J1-2,"")</f>
        <v>Personal Property 2012</v>
      </c>
      <c r="D15" s="145" t="s">
        <v>463</v>
      </c>
      <c r="E15" s="41">
        <f ca="1">inputOth!E11</f>
        <v>330344</v>
      </c>
      <c r="F15" s="146"/>
      <c r="G15" s="149"/>
      <c r="H15" s="149"/>
      <c r="I15" s="37"/>
      <c r="J15" s="37"/>
    </row>
    <row r="16" spans="1:10" ht="15.75">
      <c r="A16" s="145"/>
      <c r="B16" s="18" t="s">
        <v>468</v>
      </c>
      <c r="C16" s="18" t="s">
        <v>482</v>
      </c>
      <c r="D16" s="18"/>
      <c r="E16" s="37"/>
      <c r="F16" s="37" t="s">
        <v>460</v>
      </c>
      <c r="G16" s="148">
        <f>IF(E14&gt;E15,E14-E15,0)</f>
        <v>82083</v>
      </c>
      <c r="H16" s="149"/>
      <c r="I16" s="37"/>
      <c r="J16" s="37"/>
    </row>
    <row r="17" spans="1:10" ht="15.75">
      <c r="A17" s="145"/>
      <c r="B17" s="145"/>
      <c r="C17" s="18"/>
      <c r="D17" s="18"/>
      <c r="E17" s="37"/>
      <c r="F17" s="37"/>
      <c r="G17" s="149" t="s">
        <v>476</v>
      </c>
      <c r="H17" s="149"/>
      <c r="I17" s="37"/>
      <c r="J17" s="37"/>
    </row>
    <row r="18" spans="1:10" ht="15.75">
      <c r="A18" s="145" t="s">
        <v>469</v>
      </c>
      <c r="B18" s="25" t="str">
        <f>CONCATENATE("Valuation of Property that has Changed in Use during ",J1-1,":")</f>
        <v>Valuation of Property that has Changed in Use during 2013:</v>
      </c>
      <c r="C18" s="18"/>
      <c r="D18" s="145"/>
      <c r="E18" s="37"/>
      <c r="F18" s="37"/>
      <c r="G18" s="37">
        <f ca="1">inputOth!E10</f>
        <v>95269</v>
      </c>
      <c r="H18" s="37"/>
      <c r="I18" s="37"/>
      <c r="J18" s="37"/>
    </row>
    <row r="19" spans="1:10" ht="15.75">
      <c r="A19" s="18" t="s">
        <v>386</v>
      </c>
      <c r="B19" s="18"/>
      <c r="C19" s="18"/>
      <c r="D19" s="18"/>
      <c r="E19" s="149"/>
      <c r="F19" s="37"/>
      <c r="G19" s="150"/>
      <c r="H19" s="149"/>
      <c r="I19" s="37"/>
      <c r="J19" s="37"/>
    </row>
    <row r="20" spans="1:10" ht="15.75">
      <c r="A20" s="145" t="s">
        <v>470</v>
      </c>
      <c r="B20" s="25" t="s">
        <v>483</v>
      </c>
      <c r="C20" s="18"/>
      <c r="D20" s="145"/>
      <c r="E20" s="37"/>
      <c r="F20" s="37"/>
      <c r="G20" s="148">
        <f>G11+G16+G18</f>
        <v>304630</v>
      </c>
      <c r="H20" s="149"/>
      <c r="I20" s="37"/>
      <c r="J20" s="37"/>
    </row>
    <row r="21" spans="1:10" ht="15.75">
      <c r="A21" s="145"/>
      <c r="B21" s="145"/>
      <c r="C21" s="25"/>
      <c r="D21" s="18"/>
      <c r="E21" s="37"/>
      <c r="F21" s="37"/>
      <c r="G21" s="149"/>
      <c r="H21" s="149"/>
      <c r="I21" s="37"/>
      <c r="J21" s="37"/>
    </row>
    <row r="22" spans="1:10" ht="15.75">
      <c r="A22" s="145" t="s">
        <v>471</v>
      </c>
      <c r="B22" s="18" t="str">
        <f>CONCATENATE("Total Estimated Valuation July, 1,",J1-1,"")</f>
        <v>Total Estimated Valuation July, 1,2013</v>
      </c>
      <c r="C22" s="18"/>
      <c r="D22" s="18"/>
      <c r="E22" s="148">
        <f ca="1">inputOth!E7</f>
        <v>45043731</v>
      </c>
      <c r="F22" s="37"/>
      <c r="G22" s="37"/>
      <c r="H22" s="37"/>
      <c r="I22" s="146"/>
      <c r="J22" s="37"/>
    </row>
    <row r="23" spans="1:10" ht="15.75">
      <c r="A23" s="145"/>
      <c r="B23" s="145"/>
      <c r="C23" s="18"/>
      <c r="D23" s="18"/>
      <c r="E23" s="149"/>
      <c r="F23" s="37"/>
      <c r="G23" s="37"/>
      <c r="H23" s="37"/>
      <c r="I23" s="146"/>
      <c r="J23" s="37"/>
    </row>
    <row r="24" spans="1:10" ht="15.75">
      <c r="A24" s="145" t="s">
        <v>472</v>
      </c>
      <c r="B24" s="25" t="s">
        <v>484</v>
      </c>
      <c r="C24" s="18"/>
      <c r="D24" s="18"/>
      <c r="E24" s="37"/>
      <c r="F24" s="37"/>
      <c r="G24" s="148">
        <f>E22-G20</f>
        <v>44739101</v>
      </c>
      <c r="H24" s="149"/>
      <c r="I24" s="146"/>
      <c r="J24" s="37"/>
    </row>
    <row r="25" spans="1:10" ht="15.75">
      <c r="A25" s="145"/>
      <c r="B25" s="145"/>
      <c r="C25" s="25"/>
      <c r="D25" s="18"/>
      <c r="E25" s="37"/>
      <c r="F25" s="37"/>
      <c r="G25" s="150"/>
      <c r="H25" s="149"/>
      <c r="I25" s="146"/>
      <c r="J25" s="37"/>
    </row>
    <row r="26" spans="1:10" ht="15.75">
      <c r="A26" s="145" t="s">
        <v>473</v>
      </c>
      <c r="B26" s="18" t="s">
        <v>485</v>
      </c>
      <c r="C26" s="18"/>
      <c r="D26" s="18"/>
      <c r="E26" s="18"/>
      <c r="F26" s="18"/>
      <c r="G26" s="151">
        <f>IF(G20&gt;0,G20/G24,0)</f>
        <v>6.8090326625025385E-3</v>
      </c>
      <c r="H26" s="69"/>
      <c r="I26" s="18"/>
      <c r="J26" s="18"/>
    </row>
    <row r="27" spans="1:10" ht="15.75">
      <c r="A27" s="145"/>
      <c r="B27" s="145"/>
      <c r="C27" s="18"/>
      <c r="D27" s="18"/>
      <c r="E27" s="18"/>
      <c r="F27" s="18"/>
      <c r="G27" s="69"/>
      <c r="H27" s="69"/>
      <c r="I27" s="18"/>
      <c r="J27" s="18"/>
    </row>
    <row r="28" spans="1:10" ht="15.75">
      <c r="A28" s="145" t="s">
        <v>474</v>
      </c>
      <c r="B28" s="18" t="s">
        <v>486</v>
      </c>
      <c r="C28" s="18"/>
      <c r="D28" s="18"/>
      <c r="E28" s="18"/>
      <c r="F28" s="18"/>
      <c r="G28" s="69"/>
      <c r="H28" s="152" t="s">
        <v>460</v>
      </c>
      <c r="I28" s="18" t="s">
        <v>461</v>
      </c>
      <c r="J28" s="148">
        <f>ROUND(G26*J7,0)</f>
        <v>246</v>
      </c>
    </row>
    <row r="29" spans="1:10" ht="15.75">
      <c r="A29" s="145"/>
      <c r="B29" s="145"/>
      <c r="C29" s="18"/>
      <c r="D29" s="18"/>
      <c r="E29" s="18"/>
      <c r="F29" s="18"/>
      <c r="G29" s="69"/>
      <c r="H29" s="152"/>
      <c r="I29" s="18"/>
      <c r="J29" s="149"/>
    </row>
    <row r="30" spans="1:10" ht="16.5" thickBot="1">
      <c r="A30" s="145" t="s">
        <v>475</v>
      </c>
      <c r="B30" s="25" t="s">
        <v>491</v>
      </c>
      <c r="C30" s="18"/>
      <c r="D30" s="18"/>
      <c r="E30" s="18"/>
      <c r="F30" s="18"/>
      <c r="G30" s="18"/>
      <c r="H30" s="18"/>
      <c r="I30" s="18" t="s">
        <v>461</v>
      </c>
      <c r="J30" s="153">
        <f>J7+J28</f>
        <v>36439</v>
      </c>
    </row>
    <row r="31" spans="1:10" ht="16.5" thickTop="1">
      <c r="A31" s="145"/>
      <c r="B31" s="25"/>
      <c r="C31" s="18"/>
      <c r="D31" s="18"/>
      <c r="E31" s="18"/>
      <c r="F31" s="18"/>
      <c r="G31" s="18"/>
      <c r="H31" s="18"/>
      <c r="I31" s="18"/>
      <c r="J31" s="18"/>
    </row>
    <row r="32" spans="1:10" ht="15.75">
      <c r="A32" s="145" t="s">
        <v>489</v>
      </c>
      <c r="B32" s="25" t="str">
        <f>CONCATENATE("Debt Service Levy in this ",J1," Budget")</f>
        <v>Debt Service Levy in this 2014 Budget</v>
      </c>
      <c r="C32" s="18"/>
      <c r="D32" s="18"/>
      <c r="E32" s="18"/>
      <c r="F32" s="18"/>
      <c r="G32" s="18"/>
      <c r="H32" s="18"/>
      <c r="I32" s="18"/>
      <c r="J32" s="154">
        <f ca="1">DebtService!E60</f>
        <v>0</v>
      </c>
    </row>
    <row r="33" spans="1:10" ht="15.75">
      <c r="A33" s="145"/>
      <c r="B33" s="25"/>
      <c r="C33" s="18"/>
      <c r="D33" s="18"/>
      <c r="E33" s="18"/>
      <c r="F33" s="18"/>
      <c r="G33" s="18"/>
      <c r="H33" s="18"/>
      <c r="I33" s="18"/>
      <c r="J33" s="69"/>
    </row>
    <row r="34" spans="1:10" ht="16.5" thickBot="1">
      <c r="A34" s="145" t="s">
        <v>490</v>
      </c>
      <c r="B34" s="25" t="s">
        <v>492</v>
      </c>
      <c r="C34" s="18"/>
      <c r="D34" s="18"/>
      <c r="E34" s="18"/>
      <c r="F34" s="18"/>
      <c r="G34" s="18"/>
      <c r="H34" s="18"/>
      <c r="I34" s="18"/>
      <c r="J34" s="153">
        <f>J30+J32</f>
        <v>36439</v>
      </c>
    </row>
    <row r="35" spans="1:10" ht="16.5" thickTop="1">
      <c r="A35" s="18"/>
      <c r="B35" s="18"/>
      <c r="C35" s="18"/>
      <c r="D35" s="18"/>
      <c r="E35" s="18"/>
      <c r="F35" s="18"/>
      <c r="G35" s="18"/>
      <c r="H35" s="18"/>
      <c r="I35" s="18"/>
      <c r="J35" s="18"/>
    </row>
    <row r="36" spans="1:10" ht="15.75">
      <c r="A36" s="672" t="str">
        <f>CONCATENATE("If the ",J1," budget includes tax levies exceeding the total on line 14, you must")</f>
        <v>If the 2014 budget includes tax levies exceeding the total on line 14, you must</v>
      </c>
      <c r="B36" s="672"/>
      <c r="C36" s="672"/>
      <c r="D36" s="672"/>
      <c r="E36" s="672"/>
      <c r="F36" s="672"/>
      <c r="G36" s="672"/>
      <c r="H36" s="672"/>
      <c r="I36" s="672"/>
      <c r="J36" s="672"/>
    </row>
    <row r="37" spans="1:10" ht="15.75">
      <c r="A37" s="672" t="s">
        <v>488</v>
      </c>
      <c r="B37" s="672"/>
      <c r="C37" s="672"/>
      <c r="D37" s="672"/>
      <c r="E37" s="672"/>
      <c r="F37" s="672"/>
      <c r="G37" s="672"/>
      <c r="H37" s="672"/>
      <c r="I37" s="672"/>
      <c r="J37" s="672"/>
    </row>
  </sheetData>
  <sheetProtection sheet="1"/>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1"/>
  <sheetViews>
    <sheetView topLeftCell="A6" workbookViewId="0">
      <selection activeCell="D10" sqref="D10"/>
    </sheetView>
  </sheetViews>
  <sheetFormatPr defaultRowHeight="15.75"/>
  <cols>
    <col min="1" max="1" width="8.88671875" style="164"/>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 ca="1">inputPrYr!D3</f>
        <v>Crowm Hill Cemetery</v>
      </c>
      <c r="C1" s="18"/>
      <c r="D1" s="18"/>
      <c r="E1" s="18"/>
      <c r="F1" s="18"/>
      <c r="G1" s="18"/>
      <c r="H1" s="18"/>
      <c r="I1" s="155"/>
      <c r="J1" s="18"/>
    </row>
    <row r="2" spans="1:10">
      <c r="A2" s="18"/>
      <c r="B2" s="18" t="str">
        <f ca="1">inputPrYr!D4</f>
        <v xml:space="preserve">Comanche County </v>
      </c>
      <c r="C2" s="18"/>
      <c r="D2" s="18"/>
      <c r="E2" s="18"/>
      <c r="F2" s="18"/>
      <c r="G2" s="18">
        <f ca="1">inputPrYr!D6</f>
        <v>2014</v>
      </c>
      <c r="H2" s="18"/>
      <c r="I2" s="18"/>
      <c r="J2" s="18"/>
    </row>
    <row r="3" spans="1:10">
      <c r="A3" s="18"/>
      <c r="B3" s="18"/>
      <c r="C3" s="156"/>
      <c r="D3" s="156"/>
      <c r="E3" s="156"/>
      <c r="F3" s="156"/>
      <c r="G3" s="156"/>
      <c r="H3" s="156"/>
      <c r="I3" s="156"/>
      <c r="J3" s="18"/>
    </row>
    <row r="4" spans="1:10">
      <c r="A4" s="52"/>
      <c r="B4" s="18"/>
      <c r="C4" s="18"/>
      <c r="D4" s="18"/>
      <c r="E4" s="18"/>
      <c r="F4" s="18"/>
      <c r="G4" s="18"/>
      <c r="H4" s="18"/>
      <c r="I4" s="156"/>
      <c r="J4" s="18"/>
    </row>
    <row r="5" spans="1:10">
      <c r="A5" s="52"/>
      <c r="B5" s="18"/>
      <c r="C5" s="24"/>
      <c r="D5" s="24"/>
      <c r="E5" s="24"/>
      <c r="F5" s="18"/>
      <c r="G5" s="18"/>
      <c r="H5" s="18"/>
      <c r="I5" s="18"/>
      <c r="J5" s="18"/>
    </row>
    <row r="6" spans="1:10">
      <c r="A6" s="52"/>
      <c r="B6" s="673" t="s">
        <v>265</v>
      </c>
      <c r="C6" s="673"/>
      <c r="D6" s="673"/>
      <c r="E6" s="673"/>
      <c r="F6" s="673"/>
      <c r="G6" s="18"/>
      <c r="H6" s="18"/>
      <c r="I6" s="18"/>
      <c r="J6" s="18"/>
    </row>
    <row r="7" spans="1:10">
      <c r="A7" s="52"/>
      <c r="B7" s="157"/>
      <c r="C7" s="157"/>
      <c r="D7" s="157"/>
      <c r="E7" s="157"/>
      <c r="F7" s="157"/>
      <c r="G7" s="18"/>
      <c r="H7" s="18"/>
      <c r="I7" s="18"/>
      <c r="J7" s="18"/>
    </row>
    <row r="8" spans="1:10">
      <c r="A8" s="18"/>
      <c r="B8" s="18"/>
      <c r="C8" s="18"/>
      <c r="D8" s="18"/>
      <c r="E8" s="18"/>
      <c r="F8" s="18"/>
      <c r="G8" s="18"/>
      <c r="H8" s="18"/>
      <c r="I8" s="18"/>
      <c r="J8" s="18"/>
    </row>
    <row r="9" spans="1:10">
      <c r="A9" s="18"/>
      <c r="B9" s="676" t="str">
        <f>CONCATENATE("",G2-1,"                    Budgeted Funds")</f>
        <v>2013                    Budgeted Funds</v>
      </c>
      <c r="C9" s="674" t="str">
        <f>CONCATENATE("Tax Levy Amount in ",G2-2," Budget")</f>
        <v>Tax Levy Amount in 2012 Budget</v>
      </c>
      <c r="D9" s="662" t="str">
        <f>CONCATENATE("Allocation for Year ",G2,"")</f>
        <v>Allocation for Year 2014</v>
      </c>
      <c r="E9" s="677"/>
      <c r="F9" s="678"/>
      <c r="G9" s="18"/>
      <c r="H9" s="18"/>
      <c r="I9" s="18"/>
      <c r="J9" s="18"/>
    </row>
    <row r="10" spans="1:10">
      <c r="A10" s="18"/>
      <c r="B10" s="675"/>
      <c r="C10" s="675"/>
      <c r="D10" s="114" t="s">
        <v>413</v>
      </c>
      <c r="E10" s="114" t="s">
        <v>414</v>
      </c>
      <c r="F10" s="111" t="s">
        <v>455</v>
      </c>
      <c r="G10" s="18"/>
      <c r="H10" s="18"/>
      <c r="I10" s="18"/>
      <c r="J10" s="18"/>
    </row>
    <row r="11" spans="1:10">
      <c r="A11" s="18"/>
      <c r="B11" s="36" t="str">
        <f ca="1">inputPrYr!B19</f>
        <v>General</v>
      </c>
      <c r="C11" s="123">
        <f ca="1">inputPrYr!E19</f>
        <v>36193</v>
      </c>
      <c r="D11" s="123">
        <f>IF(E17=0,0,E17-D12-D13-D14)</f>
        <v>1246.01</v>
      </c>
      <c r="E11" s="123">
        <f>IF(E19=0,0,E19-E12-E13-E14)</f>
        <v>17.399999999999999</v>
      </c>
      <c r="F11" s="123">
        <f>IF(E21=0,0,E21-F12-F13-F14)</f>
        <v>354.36</v>
      </c>
      <c r="G11" s="18"/>
      <c r="H11" s="18"/>
      <c r="I11" s="18"/>
      <c r="J11" s="18"/>
    </row>
    <row r="12" spans="1:10">
      <c r="A12" s="18"/>
      <c r="B12" s="36" t="str">
        <f ca="1">inputPrYr!B20</f>
        <v>Debt Service</v>
      </c>
      <c r="C12" s="123">
        <f ca="1">inputPrYr!E20</f>
        <v>0</v>
      </c>
      <c r="D12" s="123">
        <f>IF($E$17=0,0,ROUND(C12*$C$24,0))</f>
        <v>0</v>
      </c>
      <c r="E12" s="123">
        <f>IF($E$19=0,0,ROUND(C12*$D$26,0))</f>
        <v>0</v>
      </c>
      <c r="F12" s="123">
        <f>IF($E21=0,0,ROUND(C12*$E$28,0))</f>
        <v>0</v>
      </c>
      <c r="G12" s="18"/>
      <c r="H12" s="18"/>
      <c r="I12" s="18"/>
      <c r="J12" s="18"/>
    </row>
    <row r="13" spans="1:10">
      <c r="A13" s="18"/>
      <c r="B13" s="36" t="str">
        <f ca="1">IF(inputPrYr!$B$22&gt;"  ",inputPrYr!$B$22,"  ")</f>
        <v xml:space="preserve">  </v>
      </c>
      <c r="C13" s="123">
        <f ca="1">inputPrYr!E22</f>
        <v>0</v>
      </c>
      <c r="D13" s="123">
        <f>IF($E$17=0,0,ROUND(C13*$C$24,0))</f>
        <v>0</v>
      </c>
      <c r="E13" s="123">
        <f>IF($E$19=0,0,ROUND(C13*$D$26,0))</f>
        <v>0</v>
      </c>
      <c r="F13" s="123">
        <f>IF($E21=0,0,ROUND(C13*$E$28,0))</f>
        <v>0</v>
      </c>
      <c r="G13" s="18"/>
      <c r="H13" s="99"/>
      <c r="I13" s="99"/>
      <c r="J13" s="18"/>
    </row>
    <row r="14" spans="1:10">
      <c r="A14" s="18"/>
      <c r="B14" s="36" t="str">
        <f ca="1">IF(inputPrYr!$B$23&gt;"  ",inputPrYr!$B$23,"  ")</f>
        <v xml:space="preserve">  </v>
      </c>
      <c r="C14" s="123">
        <f ca="1">inputPrYr!E23</f>
        <v>0</v>
      </c>
      <c r="D14" s="123">
        <f>IF($E$17=0,0,ROUND(C14*$C$24,0))</f>
        <v>0</v>
      </c>
      <c r="E14" s="123">
        <f>IF($E$19=0,0,ROUND(C14*$D$26,0))</f>
        <v>0</v>
      </c>
      <c r="F14" s="123">
        <f>IF($E21=0,0,ROUND(C14*$E$28,0))</f>
        <v>0</v>
      </c>
      <c r="G14" s="18"/>
      <c r="H14" s="18"/>
      <c r="I14" s="18"/>
      <c r="J14" s="18"/>
    </row>
    <row r="15" spans="1:10" ht="16.5" thickBot="1">
      <c r="A15" s="18"/>
      <c r="B15" s="33" t="s">
        <v>381</v>
      </c>
      <c r="C15" s="130">
        <f>SUM(C11:C14)</f>
        <v>36193</v>
      </c>
      <c r="D15" s="130">
        <f>SUM(D11:D14)</f>
        <v>1246.01</v>
      </c>
      <c r="E15" s="130">
        <f>SUM(E11:E14)</f>
        <v>17.399999999999999</v>
      </c>
      <c r="F15" s="203">
        <f>SUM(F11:F14)</f>
        <v>354.36</v>
      </c>
      <c r="G15" s="18"/>
      <c r="H15" s="18"/>
      <c r="I15" s="18"/>
      <c r="J15" s="18"/>
    </row>
    <row r="16" spans="1:10" ht="16.5" thickTop="1">
      <c r="A16" s="18"/>
      <c r="B16" s="18"/>
      <c r="C16" s="18"/>
      <c r="D16" s="18"/>
      <c r="E16" s="18"/>
      <c r="F16" s="18"/>
      <c r="G16" s="18"/>
      <c r="H16" s="18"/>
      <c r="I16" s="18"/>
      <c r="J16" s="18"/>
    </row>
    <row r="17" spans="1:10">
      <c r="A17" s="18"/>
      <c r="B17" s="17" t="s">
        <v>415</v>
      </c>
      <c r="C17" s="18"/>
      <c r="D17" s="18"/>
      <c r="E17" s="159">
        <f ca="1">inputOth!E27</f>
        <v>1246.01</v>
      </c>
      <c r="F17" s="18"/>
      <c r="G17" s="18"/>
      <c r="H17" s="18"/>
      <c r="I17" s="18"/>
      <c r="J17" s="18"/>
    </row>
    <row r="18" spans="1:10">
      <c r="A18" s="18"/>
      <c r="B18" s="18"/>
      <c r="C18" s="18"/>
      <c r="D18" s="156"/>
      <c r="E18" s="156"/>
      <c r="F18" s="18"/>
      <c r="G18" s="18"/>
      <c r="H18" s="18"/>
      <c r="I18" s="18"/>
      <c r="J18" s="18"/>
    </row>
    <row r="19" spans="1:10">
      <c r="A19" s="18"/>
      <c r="B19" s="17" t="s">
        <v>416</v>
      </c>
      <c r="C19" s="18"/>
      <c r="D19" s="156"/>
      <c r="E19" s="159">
        <f ca="1">inputOth!E28</f>
        <v>17.399999999999999</v>
      </c>
      <c r="F19" s="18"/>
      <c r="G19" s="18"/>
      <c r="H19" s="18"/>
      <c r="I19" s="18"/>
      <c r="J19" s="18"/>
    </row>
    <row r="20" spans="1:10">
      <c r="A20" s="18"/>
      <c r="B20" s="18"/>
      <c r="C20" s="18"/>
      <c r="D20" s="18"/>
      <c r="E20" s="18"/>
      <c r="F20" s="18"/>
      <c r="G20" s="18"/>
      <c r="H20" s="18"/>
      <c r="I20" s="18"/>
      <c r="J20" s="18"/>
    </row>
    <row r="21" spans="1:10">
      <c r="A21" s="18"/>
      <c r="B21" s="17" t="s">
        <v>456</v>
      </c>
      <c r="C21" s="18"/>
      <c r="D21" s="18"/>
      <c r="E21" s="159">
        <f ca="1">inputOth!E29</f>
        <v>354.36</v>
      </c>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38" t="s">
        <v>417</v>
      </c>
      <c r="C24" s="160">
        <f>IF(C15=0,0,E17/C15)</f>
        <v>3.4426822866300111E-2</v>
      </c>
      <c r="D24" s="18"/>
      <c r="E24" s="18"/>
      <c r="F24" s="18"/>
      <c r="G24" s="18"/>
      <c r="H24" s="18"/>
      <c r="I24" s="18"/>
      <c r="J24" s="18"/>
    </row>
    <row r="25" spans="1:10">
      <c r="A25" s="18"/>
      <c r="B25" s="17"/>
      <c r="C25" s="161"/>
      <c r="D25" s="18"/>
      <c r="E25" s="18"/>
      <c r="F25" s="18"/>
      <c r="G25" s="18"/>
      <c r="H25" s="18"/>
      <c r="I25" s="18"/>
      <c r="J25" s="18"/>
    </row>
    <row r="26" spans="1:10">
      <c r="A26" s="18"/>
      <c r="B26" s="18"/>
      <c r="C26" s="138" t="s">
        <v>418</v>
      </c>
      <c r="D26" s="162">
        <f>IF(C15=0,0,E19/C15)</f>
        <v>4.8075594728262368E-4</v>
      </c>
      <c r="E26" s="18"/>
      <c r="F26" s="18"/>
      <c r="G26" s="18"/>
      <c r="H26" s="18"/>
      <c r="I26" s="18"/>
      <c r="J26" s="18"/>
    </row>
    <row r="27" spans="1:10">
      <c r="A27" s="18"/>
      <c r="B27" s="18"/>
      <c r="C27" s="17"/>
      <c r="D27" s="163"/>
      <c r="E27" s="18"/>
      <c r="F27" s="18"/>
      <c r="G27" s="18"/>
      <c r="H27" s="18"/>
      <c r="I27" s="18"/>
      <c r="J27" s="18"/>
    </row>
    <row r="28" spans="1:10">
      <c r="A28" s="18"/>
      <c r="B28" s="18"/>
      <c r="C28" s="18"/>
      <c r="D28" s="138" t="s">
        <v>457</v>
      </c>
      <c r="E28" s="162">
        <f>IF(C15=0,0,E21/C15)</f>
        <v>9.7908435332799172E-3</v>
      </c>
      <c r="F28" s="18"/>
      <c r="G28" s="18"/>
      <c r="H28" s="18"/>
      <c r="I28" s="18"/>
      <c r="J28" s="18"/>
    </row>
    <row r="29" spans="1:10">
      <c r="A29" s="18"/>
      <c r="B29" s="18"/>
      <c r="C29" s="18"/>
      <c r="D29" s="18"/>
      <c r="E29" s="18"/>
      <c r="F29" s="18"/>
      <c r="G29" s="18"/>
      <c r="H29" s="18"/>
      <c r="I29" s="18"/>
      <c r="J29" s="18"/>
    </row>
    <row r="30" spans="1:10">
      <c r="A30" s="18"/>
      <c r="B30" s="18"/>
      <c r="C30" s="52"/>
      <c r="D30" s="52"/>
      <c r="E30" s="52"/>
      <c r="F30" s="52"/>
      <c r="G30" s="52"/>
      <c r="H30" s="52"/>
      <c r="I30" s="18"/>
      <c r="J30" s="18"/>
    </row>
    <row r="31" spans="1:10">
      <c r="A31" s="18"/>
      <c r="B31" s="18"/>
      <c r="C31" s="52"/>
      <c r="D31" s="52"/>
      <c r="E31" s="52"/>
      <c r="F31" s="52"/>
      <c r="G31" s="52"/>
      <c r="H31" s="52"/>
      <c r="I31" s="18"/>
      <c r="J31" s="18"/>
    </row>
  </sheetData>
  <sheetProtection sheet="1"/>
  <mergeCells count="4">
    <mergeCell ref="B6:F6"/>
    <mergeCell ref="C9:C10"/>
    <mergeCell ref="B9:B10"/>
    <mergeCell ref="D9:F9"/>
  </mergeCells>
  <phoneticPr fontId="0" type="noConversion"/>
  <pageMargins left="1.47" right="1.19" top="1" bottom="0.5" header="0.5" footer="0.5"/>
  <pageSetup scale="73" orientation="landscape" blackAndWhite="1" horizontalDpi="120" verticalDpi="144" r:id="rId1"/>
  <headerFooter alignWithMargins="0">
    <oddHeader xml:space="preserve">&amp;RState of Kansas
Special District
</oddHeader>
    <oddFooter>&amp;CPage No. 3</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30"/>
  <sheetViews>
    <sheetView workbookViewId="0">
      <selection activeCell="C16" sqref="C16:E16"/>
    </sheetView>
  </sheetViews>
  <sheetFormatPr defaultRowHeight="15.75"/>
  <cols>
    <col min="1" max="2" width="17.77734375" style="16" customWidth="1"/>
    <col min="3" max="6" width="12.77734375" style="16" customWidth="1"/>
    <col min="7" max="16384" width="8.88671875" style="16"/>
  </cols>
  <sheetData>
    <row r="1" spans="1:6">
      <c r="A1" s="156"/>
      <c r="B1" s="18"/>
      <c r="C1" s="18"/>
      <c r="D1" s="18"/>
      <c r="E1" s="155"/>
      <c r="F1" s="18">
        <f ca="1">inputPrYr!D6</f>
        <v>2014</v>
      </c>
    </row>
    <row r="2" spans="1:6">
      <c r="A2" s="165" t="str">
        <f ca="1">inputPrYr!D3</f>
        <v>Crowm Hill Cemetery</v>
      </c>
      <c r="B2" s="165"/>
      <c r="C2" s="18"/>
      <c r="D2" s="18"/>
      <c r="E2" s="155"/>
      <c r="F2" s="18"/>
    </row>
    <row r="3" spans="1:6">
      <c r="A3" s="165" t="str">
        <f ca="1">inputPrYr!D4</f>
        <v xml:space="preserve">Comanche County </v>
      </c>
      <c r="B3" s="165"/>
      <c r="C3" s="18"/>
      <c r="D3" s="18"/>
      <c r="E3" s="155"/>
      <c r="F3" s="18"/>
    </row>
    <row r="4" spans="1:6">
      <c r="A4" s="156"/>
      <c r="B4" s="18"/>
      <c r="C4" s="18"/>
      <c r="D4" s="18"/>
      <c r="E4" s="155"/>
      <c r="F4" s="18"/>
    </row>
    <row r="5" spans="1:6" ht="15" customHeight="1">
      <c r="A5" s="660" t="s">
        <v>513</v>
      </c>
      <c r="B5" s="660"/>
      <c r="C5" s="660"/>
      <c r="D5" s="660"/>
      <c r="E5" s="660"/>
      <c r="F5" s="660"/>
    </row>
    <row r="6" spans="1:6" ht="14.25" customHeight="1">
      <c r="A6" s="96"/>
      <c r="B6" s="166"/>
      <c r="C6" s="166"/>
      <c r="D6" s="166"/>
      <c r="E6" s="166"/>
      <c r="F6" s="166"/>
    </row>
    <row r="7" spans="1:6" ht="17.25" customHeight="1">
      <c r="A7" s="167" t="s">
        <v>392</v>
      </c>
      <c r="B7" s="167" t="s">
        <v>93</v>
      </c>
      <c r="C7" s="167" t="s">
        <v>419</v>
      </c>
      <c r="D7" s="167" t="s">
        <v>514</v>
      </c>
      <c r="E7" s="167" t="s">
        <v>515</v>
      </c>
      <c r="F7" s="167" t="s">
        <v>528</v>
      </c>
    </row>
    <row r="8" spans="1:6" ht="17.25" customHeight="1">
      <c r="A8" s="168" t="s">
        <v>94</v>
      </c>
      <c r="B8" s="168" t="s">
        <v>95</v>
      </c>
      <c r="C8" s="168" t="s">
        <v>529</v>
      </c>
      <c r="D8" s="168" t="s">
        <v>529</v>
      </c>
      <c r="E8" s="168" t="s">
        <v>529</v>
      </c>
      <c r="F8" s="168" t="s">
        <v>530</v>
      </c>
    </row>
    <row r="9" spans="1:6" s="171" customFormat="1" ht="18" customHeight="1">
      <c r="A9" s="169" t="s">
        <v>531</v>
      </c>
      <c r="B9" s="169" t="s">
        <v>532</v>
      </c>
      <c r="C9" s="170">
        <f>F1-2</f>
        <v>2012</v>
      </c>
      <c r="D9" s="170">
        <f>F1-1</f>
        <v>2013</v>
      </c>
      <c r="E9" s="170">
        <f>F1</f>
        <v>2014</v>
      </c>
      <c r="F9" s="169" t="s">
        <v>533</v>
      </c>
    </row>
    <row r="10" spans="1:6" ht="15" customHeight="1">
      <c r="A10" s="172"/>
      <c r="B10" s="172"/>
      <c r="C10" s="173"/>
      <c r="D10" s="173"/>
      <c r="E10" s="173"/>
      <c r="F10" s="172"/>
    </row>
    <row r="11" spans="1:6" ht="15" customHeight="1">
      <c r="A11" s="46"/>
      <c r="B11" s="46"/>
      <c r="C11" s="140"/>
      <c r="D11" s="140"/>
      <c r="E11" s="140"/>
      <c r="F11" s="46"/>
    </row>
    <row r="12" spans="1:6" ht="15" customHeight="1">
      <c r="A12" s="46"/>
      <c r="B12" s="46"/>
      <c r="C12" s="140"/>
      <c r="D12" s="140"/>
      <c r="E12" s="140"/>
      <c r="F12" s="46"/>
    </row>
    <row r="13" spans="1:6" ht="15" customHeight="1">
      <c r="A13" s="46"/>
      <c r="B13" s="46"/>
      <c r="C13" s="140"/>
      <c r="D13" s="140"/>
      <c r="E13" s="140"/>
      <c r="F13" s="46"/>
    </row>
    <row r="14" spans="1:6" ht="15" customHeight="1">
      <c r="A14" s="46"/>
      <c r="B14" s="46"/>
      <c r="C14" s="140"/>
      <c r="D14" s="140"/>
      <c r="E14" s="140"/>
      <c r="F14" s="46"/>
    </row>
    <row r="15" spans="1:6" ht="15" customHeight="1">
      <c r="A15" s="46"/>
      <c r="B15" s="46"/>
      <c r="C15" s="140"/>
      <c r="D15" s="140"/>
      <c r="E15" s="140"/>
      <c r="F15" s="46"/>
    </row>
    <row r="16" spans="1:6" ht="15" customHeight="1">
      <c r="A16" s="46"/>
      <c r="B16" s="174"/>
      <c r="C16" s="140"/>
      <c r="D16" s="140"/>
      <c r="E16" s="140"/>
      <c r="F16" s="46"/>
    </row>
    <row r="17" spans="1:7" ht="15" customHeight="1">
      <c r="A17" s="46"/>
      <c r="B17" s="46"/>
      <c r="C17" s="140"/>
      <c r="D17" s="140"/>
      <c r="E17" s="140"/>
      <c r="F17" s="46"/>
    </row>
    <row r="18" spans="1:7" ht="15" customHeight="1">
      <c r="A18" s="46"/>
      <c r="B18" s="46"/>
      <c r="C18" s="140"/>
      <c r="D18" s="140"/>
      <c r="E18" s="140"/>
      <c r="F18" s="46"/>
    </row>
    <row r="19" spans="1:7" ht="15" customHeight="1">
      <c r="A19" s="46"/>
      <c r="B19" s="46"/>
      <c r="C19" s="140"/>
      <c r="D19" s="140"/>
      <c r="E19" s="140"/>
      <c r="F19" s="46"/>
    </row>
    <row r="20" spans="1:7" ht="15" customHeight="1">
      <c r="A20" s="46"/>
      <c r="B20" s="46"/>
      <c r="C20" s="140"/>
      <c r="D20" s="140"/>
      <c r="E20" s="140"/>
      <c r="F20" s="46"/>
    </row>
    <row r="21" spans="1:7" ht="15" customHeight="1">
      <c r="A21" s="46"/>
      <c r="B21" s="46"/>
      <c r="C21" s="140"/>
      <c r="D21" s="140"/>
      <c r="E21" s="140"/>
      <c r="F21" s="46"/>
    </row>
    <row r="22" spans="1:7" ht="15" customHeight="1">
      <c r="A22" s="46"/>
      <c r="B22" s="46"/>
      <c r="C22" s="140"/>
      <c r="D22" s="140"/>
      <c r="E22" s="140"/>
      <c r="F22" s="46"/>
    </row>
    <row r="23" spans="1:7" ht="15" customHeight="1">
      <c r="A23" s="46"/>
      <c r="B23" s="46"/>
      <c r="C23" s="140"/>
      <c r="D23" s="140"/>
      <c r="E23" s="140"/>
      <c r="F23" s="46"/>
    </row>
    <row r="24" spans="1:7">
      <c r="A24" s="30"/>
      <c r="B24" s="175" t="s">
        <v>502</v>
      </c>
      <c r="C24" s="176">
        <f>SUM(C10:C23)</f>
        <v>0</v>
      </c>
      <c r="D24" s="176">
        <f>SUM(D10:D23)</f>
        <v>0</v>
      </c>
      <c r="E24" s="176">
        <f>SUM(E10:E23)</f>
        <v>0</v>
      </c>
      <c r="F24" s="177"/>
      <c r="G24" s="61"/>
    </row>
    <row r="25" spans="1:7">
      <c r="A25" s="30"/>
      <c r="B25" s="178" t="s">
        <v>92</v>
      </c>
      <c r="C25" s="179"/>
      <c r="D25" s="180"/>
      <c r="E25" s="180"/>
      <c r="F25" s="177"/>
      <c r="G25" s="61"/>
    </row>
    <row r="26" spans="1:7">
      <c r="A26" s="30"/>
      <c r="B26" s="175" t="s">
        <v>534</v>
      </c>
      <c r="C26" s="176">
        <f>C24</f>
        <v>0</v>
      </c>
      <c r="D26" s="176">
        <f>SUM(D24-D25)</f>
        <v>0</v>
      </c>
      <c r="E26" s="176">
        <f>SUM(E24-E25)</f>
        <v>0</v>
      </c>
      <c r="F26" s="177"/>
      <c r="G26" s="61"/>
    </row>
    <row r="27" spans="1:7">
      <c r="A27" s="18"/>
      <c r="B27" s="18"/>
      <c r="C27" s="18"/>
      <c r="D27" s="52"/>
      <c r="E27" s="52"/>
      <c r="F27" s="52"/>
      <c r="G27" s="61"/>
    </row>
    <row r="28" spans="1:7">
      <c r="A28" s="18"/>
      <c r="B28" s="18"/>
      <c r="C28" s="18"/>
      <c r="D28" s="52"/>
      <c r="E28" s="52"/>
      <c r="F28" s="52"/>
      <c r="G28" s="61"/>
    </row>
    <row r="29" spans="1:7">
      <c r="A29" s="364" t="s">
        <v>96</v>
      </c>
      <c r="B29" s="365" t="str">
        <f>CONCATENATE("Adjustments are required only if the transfer is being made in ",D9," and/or ",E9," from a non-budgeted fund.")</f>
        <v>Adjustments are required only if the transfer is being made in 2013 and/or 2014 from a non-budgeted fund.</v>
      </c>
      <c r="C29" s="52"/>
      <c r="D29" s="52"/>
      <c r="E29" s="52"/>
      <c r="F29" s="52"/>
      <c r="G29" s="61"/>
    </row>
    <row r="30" spans="1:7">
      <c r="A30" s="61"/>
      <c r="B30" s="61"/>
      <c r="C30" s="61"/>
      <c r="D30" s="61"/>
      <c r="E30" s="61"/>
      <c r="F30" s="61"/>
      <c r="G30" s="6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61" customWidth="1"/>
    <col min="2" max="16384" width="8.88671875" style="61"/>
  </cols>
  <sheetData>
    <row r="1" spans="1:1" ht="18.75">
      <c r="A1" s="316" t="s">
        <v>673</v>
      </c>
    </row>
    <row r="2" spans="1:1" ht="15.75">
      <c r="A2" s="95"/>
    </row>
    <row r="3" spans="1:1" ht="47.25">
      <c r="A3" s="317" t="s">
        <v>674</v>
      </c>
    </row>
    <row r="4" spans="1:1" ht="15.75">
      <c r="A4" s="318"/>
    </row>
    <row r="5" spans="1:1" ht="15.75">
      <c r="A5" s="95"/>
    </row>
    <row r="6" spans="1:1" ht="63">
      <c r="A6" s="317" t="s">
        <v>675</v>
      </c>
    </row>
    <row r="7" spans="1:1" ht="15.75">
      <c r="A7" s="318"/>
    </row>
    <row r="8" spans="1:1" ht="15.75">
      <c r="A8" s="95"/>
    </row>
    <row r="9" spans="1:1" ht="47.25">
      <c r="A9" s="317" t="s">
        <v>676</v>
      </c>
    </row>
    <row r="10" spans="1:1" ht="15.75">
      <c r="A10" s="318"/>
    </row>
    <row r="11" spans="1:1" ht="15.75">
      <c r="A11" s="318"/>
    </row>
    <row r="12" spans="1:1" ht="31.5">
      <c r="A12" s="317" t="s">
        <v>677</v>
      </c>
    </row>
    <row r="13" spans="1:1" ht="15.75">
      <c r="A13" s="95"/>
    </row>
    <row r="14" spans="1:1" ht="15.75">
      <c r="A14" s="95"/>
    </row>
    <row r="15" spans="1:1" ht="47.25">
      <c r="A15" s="317" t="s">
        <v>678</v>
      </c>
    </row>
    <row r="16" spans="1:1" ht="15.75">
      <c r="A16" s="95"/>
    </row>
    <row r="17" spans="1:1" ht="15.75">
      <c r="A17" s="95"/>
    </row>
    <row r="18" spans="1:1" ht="63">
      <c r="A18" s="468" t="s">
        <v>196</v>
      </c>
    </row>
    <row r="19" spans="1:1" ht="15.75">
      <c r="A19" s="95"/>
    </row>
    <row r="20" spans="1:1" ht="15.75">
      <c r="A20" s="95"/>
    </row>
    <row r="21" spans="1:1" ht="63">
      <c r="A21" s="338" t="s">
        <v>679</v>
      </c>
    </row>
    <row r="22" spans="1:1" ht="15.75">
      <c r="A22" s="318"/>
    </row>
    <row r="23" spans="1:1" ht="15.75">
      <c r="A23" s="95"/>
    </row>
    <row r="24" spans="1:1" ht="63">
      <c r="A24" s="317" t="s">
        <v>680</v>
      </c>
    </row>
    <row r="25" spans="1:1" ht="47.25">
      <c r="A25" s="319" t="s">
        <v>681</v>
      </c>
    </row>
    <row r="26" spans="1:1" ht="15.75">
      <c r="A26" s="318"/>
    </row>
    <row r="27" spans="1:1" ht="15.75">
      <c r="A27" s="95"/>
    </row>
    <row r="28" spans="1:1" ht="63">
      <c r="A28" s="468" t="s">
        <v>197</v>
      </c>
    </row>
    <row r="29" spans="1:1" ht="15.75">
      <c r="A29" s="95"/>
    </row>
    <row r="30" spans="1:1" ht="15.75">
      <c r="A30" s="95"/>
    </row>
    <row r="31" spans="1:1" ht="78.75">
      <c r="A31" s="468" t="s">
        <v>198</v>
      </c>
    </row>
    <row r="32" spans="1:1" ht="15.75">
      <c r="A32" s="95"/>
    </row>
    <row r="33" spans="1:1" ht="15.75">
      <c r="A33" s="95"/>
    </row>
    <row r="34" spans="1:1" ht="47.25">
      <c r="A34" s="469" t="s">
        <v>199</v>
      </c>
    </row>
    <row r="35" spans="1:1" ht="15.75">
      <c r="A35" s="95"/>
    </row>
    <row r="36" spans="1:1" ht="15.75">
      <c r="A36" s="95"/>
    </row>
    <row r="37" spans="1:1" ht="78.75">
      <c r="A37" s="317" t="s">
        <v>682</v>
      </c>
    </row>
    <row r="38" spans="1:1" ht="15.75">
      <c r="A38" s="318"/>
    </row>
    <row r="39" spans="1:1" ht="15.75">
      <c r="A39" s="318"/>
    </row>
    <row r="40" spans="1:1" ht="47.25">
      <c r="A40" s="338" t="s">
        <v>683</v>
      </c>
    </row>
    <row r="41" spans="1:1" ht="15.75">
      <c r="A41" s="318"/>
    </row>
  </sheetData>
  <sheetProtection sheet="1"/>
  <phoneticPr fontId="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B1:Y43"/>
  <sheetViews>
    <sheetView zoomScale="75" workbookViewId="0">
      <selection activeCell="F41" sqref="F41"/>
    </sheetView>
  </sheetViews>
  <sheetFormatPr defaultRowHeight="15.75"/>
  <cols>
    <col min="1" max="1" width="8.88671875" style="16"/>
    <col min="2" max="2" width="20.77734375" style="16" customWidth="1"/>
    <col min="3" max="3" width="9.77734375" style="16" customWidth="1"/>
    <col min="4" max="4" width="10.77734375" style="16" customWidth="1"/>
    <col min="5" max="5" width="9.77734375" style="16" customWidth="1"/>
    <col min="6" max="6" width="17.21875" style="16" customWidth="1"/>
    <col min="7" max="12" width="9.77734375" style="16" customWidth="1"/>
    <col min="13" max="16384" width="8.88671875" style="16"/>
  </cols>
  <sheetData>
    <row r="1" spans="2:12">
      <c r="B1" s="18" t="str">
        <f ca="1">inputPrYr!$D$3</f>
        <v>Crowm Hill Cemetery</v>
      </c>
      <c r="C1" s="18"/>
      <c r="D1" s="18"/>
      <c r="E1" s="18"/>
      <c r="F1" s="18"/>
      <c r="G1" s="18"/>
      <c r="H1" s="18"/>
      <c r="I1" s="18"/>
      <c r="J1" s="18"/>
      <c r="K1" s="18"/>
      <c r="L1" s="182">
        <f ca="1">inputPrYr!D6</f>
        <v>2014</v>
      </c>
    </row>
    <row r="2" spans="2:12">
      <c r="B2" s="18" t="str">
        <f ca="1">inputPrYr!$D$4</f>
        <v xml:space="preserve">Comanche County </v>
      </c>
      <c r="C2" s="18"/>
      <c r="D2" s="18"/>
      <c r="E2" s="18"/>
      <c r="F2" s="18"/>
      <c r="G2" s="18"/>
      <c r="H2" s="18"/>
      <c r="I2" s="18"/>
      <c r="J2" s="18"/>
      <c r="K2" s="18"/>
      <c r="L2" s="138"/>
    </row>
    <row r="3" spans="2:12">
      <c r="B3" s="18"/>
      <c r="C3" s="18"/>
      <c r="D3" s="18"/>
      <c r="E3" s="18"/>
      <c r="F3" s="18"/>
      <c r="G3" s="18"/>
      <c r="H3" s="18"/>
      <c r="I3" s="18"/>
      <c r="J3" s="18"/>
      <c r="K3" s="18"/>
      <c r="L3" s="138"/>
    </row>
    <row r="4" spans="2:12" s="185" customFormat="1">
      <c r="B4" s="183" t="s">
        <v>453</v>
      </c>
      <c r="C4" s="184"/>
      <c r="D4" s="184"/>
      <c r="E4" s="24"/>
      <c r="F4" s="184"/>
      <c r="G4" s="184"/>
      <c r="H4" s="184"/>
      <c r="I4" s="184"/>
      <c r="J4" s="184"/>
      <c r="K4" s="184"/>
      <c r="L4" s="184"/>
    </row>
    <row r="5" spans="2:12" s="185" customFormat="1">
      <c r="B5" s="186"/>
      <c r="C5" s="186"/>
      <c r="D5" s="186"/>
      <c r="E5" s="186"/>
      <c r="F5" s="186"/>
      <c r="G5" s="186"/>
      <c r="H5" s="186"/>
      <c r="I5" s="186"/>
      <c r="J5" s="186"/>
      <c r="K5" s="186"/>
      <c r="L5" s="186"/>
    </row>
    <row r="6" spans="2:12" s="185" customFormat="1">
      <c r="B6" s="102" t="s">
        <v>266</v>
      </c>
      <c r="C6" s="102" t="s">
        <v>428</v>
      </c>
      <c r="D6" s="102" t="s">
        <v>436</v>
      </c>
      <c r="E6" s="102"/>
      <c r="F6" s="102" t="s">
        <v>399</v>
      </c>
      <c r="G6" s="187"/>
      <c r="H6" s="188"/>
      <c r="I6" s="187" t="s">
        <v>429</v>
      </c>
      <c r="J6" s="188"/>
      <c r="K6" s="187" t="s">
        <v>429</v>
      </c>
      <c r="L6" s="188"/>
    </row>
    <row r="7" spans="2:12" s="185" customFormat="1">
      <c r="B7" s="105" t="s">
        <v>430</v>
      </c>
      <c r="C7" s="105" t="s">
        <v>430</v>
      </c>
      <c r="D7" s="105" t="s">
        <v>431</v>
      </c>
      <c r="E7" s="105" t="s">
        <v>399</v>
      </c>
      <c r="F7" s="105" t="s">
        <v>500</v>
      </c>
      <c r="G7" s="189" t="s">
        <v>432</v>
      </c>
      <c r="H7" s="190"/>
      <c r="I7" s="189">
        <f>L1-1</f>
        <v>2013</v>
      </c>
      <c r="J7" s="190"/>
      <c r="K7" s="189">
        <f>L1</f>
        <v>2014</v>
      </c>
      <c r="L7" s="190"/>
    </row>
    <row r="8" spans="2:12" s="185" customFormat="1">
      <c r="B8" s="114" t="s">
        <v>267</v>
      </c>
      <c r="C8" s="114" t="s">
        <v>433</v>
      </c>
      <c r="D8" s="114" t="s">
        <v>411</v>
      </c>
      <c r="E8" s="114" t="s">
        <v>434</v>
      </c>
      <c r="F8" s="191" t="str">
        <f>CONCATENATE("Jan 1,",L1-1,"")</f>
        <v>Jan 1,2013</v>
      </c>
      <c r="G8" s="111" t="s">
        <v>436</v>
      </c>
      <c r="H8" s="111" t="s">
        <v>437</v>
      </c>
      <c r="I8" s="111" t="s">
        <v>436</v>
      </c>
      <c r="J8" s="111" t="s">
        <v>437</v>
      </c>
      <c r="K8" s="111" t="s">
        <v>436</v>
      </c>
      <c r="L8" s="111" t="s">
        <v>437</v>
      </c>
    </row>
    <row r="9" spans="2:12" s="185" customFormat="1">
      <c r="B9" s="33" t="s">
        <v>547</v>
      </c>
      <c r="C9" s="192"/>
      <c r="D9" s="33"/>
      <c r="E9" s="33"/>
      <c r="F9" s="33"/>
      <c r="G9" s="193"/>
      <c r="H9" s="193"/>
      <c r="I9" s="33"/>
      <c r="J9" s="33"/>
      <c r="K9" s="33"/>
      <c r="L9" s="33"/>
    </row>
    <row r="10" spans="2:12" s="185" customFormat="1">
      <c r="B10" s="194"/>
      <c r="C10" s="380"/>
      <c r="D10" s="194"/>
      <c r="E10" s="194"/>
      <c r="F10" s="56"/>
      <c r="G10" s="195"/>
      <c r="H10" s="195"/>
      <c r="I10" s="194"/>
      <c r="J10" s="194"/>
      <c r="K10" s="194"/>
      <c r="L10" s="194"/>
    </row>
    <row r="11" spans="2:12" s="185" customFormat="1">
      <c r="B11" s="34"/>
      <c r="C11" s="381"/>
      <c r="D11" s="196"/>
      <c r="E11" s="35"/>
      <c r="F11" s="35"/>
      <c r="G11" s="197"/>
      <c r="H11" s="197"/>
      <c r="I11" s="198"/>
      <c r="J11" s="198"/>
      <c r="K11" s="198"/>
      <c r="L11" s="198"/>
    </row>
    <row r="12" spans="2:12" s="185" customFormat="1">
      <c r="B12" s="199" t="s">
        <v>548</v>
      </c>
      <c r="C12" s="200"/>
      <c r="D12" s="201"/>
      <c r="E12" s="202"/>
      <c r="F12" s="203">
        <f>SUM(F10:F11)</f>
        <v>0</v>
      </c>
      <c r="G12" s="204"/>
      <c r="H12" s="204"/>
      <c r="I12" s="203">
        <f>SUM(I10:I11)</f>
        <v>0</v>
      </c>
      <c r="J12" s="203">
        <f>SUM(J10:J11)</f>
        <v>0</v>
      </c>
      <c r="K12" s="203">
        <f>SUM(K10:K11)</f>
        <v>0</v>
      </c>
      <c r="L12" s="203">
        <f>SUM(L10:L11)</f>
        <v>0</v>
      </c>
    </row>
    <row r="13" spans="2:12" s="185" customFormat="1">
      <c r="B13" s="199" t="s">
        <v>549</v>
      </c>
      <c r="C13" s="200"/>
      <c r="D13" s="201"/>
      <c r="E13" s="202"/>
      <c r="F13" s="123"/>
      <c r="G13" s="204"/>
      <c r="H13" s="204"/>
      <c r="I13" s="123"/>
      <c r="J13" s="123"/>
      <c r="K13" s="123"/>
      <c r="L13" s="123"/>
    </row>
    <row r="14" spans="2:12" s="185" customFormat="1">
      <c r="B14" s="34"/>
      <c r="C14" s="381"/>
      <c r="D14" s="196"/>
      <c r="E14" s="35"/>
      <c r="F14" s="198"/>
      <c r="G14" s="197"/>
      <c r="H14" s="197"/>
      <c r="I14" s="198"/>
      <c r="J14" s="198"/>
      <c r="K14" s="198"/>
      <c r="L14" s="198"/>
    </row>
    <row r="15" spans="2:12" s="185" customFormat="1">
      <c r="B15" s="34"/>
      <c r="C15" s="381"/>
      <c r="D15" s="196"/>
      <c r="E15" s="35"/>
      <c r="F15" s="198"/>
      <c r="G15" s="197"/>
      <c r="H15" s="197"/>
      <c r="I15" s="198"/>
      <c r="J15" s="198"/>
      <c r="K15" s="198"/>
      <c r="L15" s="198"/>
    </row>
    <row r="16" spans="2:12" s="185" customFormat="1">
      <c r="B16" s="199" t="s">
        <v>550</v>
      </c>
      <c r="C16" s="200"/>
      <c r="D16" s="201"/>
      <c r="E16" s="202"/>
      <c r="F16" s="123">
        <f>SUM(F14:F15)</f>
        <v>0</v>
      </c>
      <c r="G16" s="204"/>
      <c r="H16" s="204"/>
      <c r="I16" s="203">
        <f>SUM(I14:I15)</f>
        <v>0</v>
      </c>
      <c r="J16" s="203">
        <f>SUM(J14:J15)</f>
        <v>0</v>
      </c>
      <c r="K16" s="203">
        <f>SUM(K14:K15)</f>
        <v>0</v>
      </c>
      <c r="L16" s="203">
        <f>SUM(L14:L15)</f>
        <v>0</v>
      </c>
    </row>
    <row r="17" spans="2:25" s="185" customFormat="1">
      <c r="B17" s="199" t="s">
        <v>551</v>
      </c>
      <c r="C17" s="200"/>
      <c r="D17" s="201"/>
      <c r="E17" s="202"/>
      <c r="F17" s="123"/>
      <c r="G17" s="204"/>
      <c r="H17" s="204"/>
      <c r="I17" s="123"/>
      <c r="J17" s="123"/>
      <c r="K17" s="123"/>
      <c r="L17" s="123"/>
    </row>
    <row r="18" spans="2:25" s="185" customFormat="1">
      <c r="B18" s="34"/>
      <c r="C18" s="381"/>
      <c r="D18" s="196"/>
      <c r="E18" s="35"/>
      <c r="F18" s="198"/>
      <c r="G18" s="197"/>
      <c r="H18" s="197"/>
      <c r="I18" s="198"/>
      <c r="J18" s="198"/>
      <c r="K18" s="198"/>
      <c r="L18" s="198"/>
    </row>
    <row r="19" spans="2:25" s="185" customFormat="1">
      <c r="B19" s="34"/>
      <c r="C19" s="381"/>
      <c r="D19" s="196"/>
      <c r="E19" s="35"/>
      <c r="F19" s="198"/>
      <c r="G19" s="197"/>
      <c r="H19" s="197"/>
      <c r="I19" s="198"/>
      <c r="J19" s="198"/>
      <c r="K19" s="198"/>
      <c r="L19" s="198"/>
    </row>
    <row r="20" spans="2:25" s="185" customFormat="1">
      <c r="B20" s="36" t="s">
        <v>552</v>
      </c>
      <c r="C20" s="205"/>
      <c r="D20" s="206"/>
      <c r="E20" s="45"/>
      <c r="F20" s="203">
        <f>SUM(F18:F19)</f>
        <v>0</v>
      </c>
      <c r="G20" s="548"/>
      <c r="H20" s="204"/>
      <c r="I20" s="203">
        <f>SUM(I18:I19)</f>
        <v>0</v>
      </c>
      <c r="J20" s="203">
        <f>SUM(J18:J19)</f>
        <v>0</v>
      </c>
      <c r="K20" s="203">
        <f>SUM(K18:K19)</f>
        <v>0</v>
      </c>
      <c r="L20" s="203">
        <f>SUM(L18:L19)</f>
        <v>0</v>
      </c>
    </row>
    <row r="21" spans="2:25" s="185" customFormat="1">
      <c r="B21" s="207" t="s">
        <v>454</v>
      </c>
      <c r="C21" s="546"/>
      <c r="D21" s="549"/>
      <c r="E21" s="550"/>
      <c r="F21" s="208">
        <f>SUM(F12+F16+F20)</f>
        <v>0</v>
      </c>
      <c r="G21" s="547"/>
      <c r="H21" s="549"/>
      <c r="I21" s="208">
        <f>SUM(I12+I16+I20)</f>
        <v>0</v>
      </c>
      <c r="J21" s="208">
        <f>SUM(J12+J16+J20)</f>
        <v>0</v>
      </c>
      <c r="K21" s="208">
        <f>SUM(K12+K16+K20)</f>
        <v>0</v>
      </c>
      <c r="L21" s="208">
        <f>SUM(L12+L16+L20)</f>
        <v>0</v>
      </c>
    </row>
    <row r="22" spans="2:25" s="185" customFormat="1">
      <c r="B22" s="18"/>
      <c r="C22" s="18"/>
      <c r="D22" s="69"/>
      <c r="E22" s="69"/>
      <c r="F22" s="69"/>
      <c r="G22" s="69"/>
      <c r="H22" s="69"/>
      <c r="I22" s="69"/>
      <c r="J22" s="69"/>
      <c r="K22" s="69"/>
      <c r="L22" s="69"/>
      <c r="M22" s="95"/>
      <c r="N22" s="95"/>
      <c r="O22" s="95"/>
      <c r="P22" s="95"/>
      <c r="Q22" s="95"/>
      <c r="R22" s="95"/>
      <c r="S22" s="95"/>
      <c r="T22" s="95"/>
      <c r="U22" s="95"/>
      <c r="V22" s="95"/>
      <c r="W22" s="95"/>
      <c r="X22" s="95"/>
      <c r="Y22" s="95"/>
    </row>
    <row r="23" spans="2:25" s="211" customFormat="1">
      <c r="B23" s="679" t="s">
        <v>448</v>
      </c>
      <c r="C23" s="644"/>
      <c r="D23" s="644"/>
      <c r="E23" s="644"/>
      <c r="F23" s="644"/>
      <c r="G23" s="644"/>
      <c r="H23" s="644"/>
      <c r="I23" s="644"/>
      <c r="J23" s="209"/>
      <c r="K23" s="209"/>
      <c r="L23" s="210"/>
    </row>
    <row r="24" spans="2:25" s="211" customFormat="1">
      <c r="B24" s="69"/>
      <c r="C24" s="106"/>
      <c r="D24" s="106"/>
      <c r="E24" s="106"/>
      <c r="F24" s="106"/>
      <c r="G24" s="106"/>
      <c r="H24" s="106"/>
      <c r="I24" s="106"/>
      <c r="J24" s="100"/>
      <c r="K24" s="100"/>
      <c r="L24" s="210"/>
    </row>
    <row r="25" spans="2:25" s="211" customFormat="1">
      <c r="B25" s="212"/>
      <c r="C25" s="212"/>
      <c r="D25" s="102" t="s">
        <v>435</v>
      </c>
      <c r="E25" s="212"/>
      <c r="F25" s="102" t="s">
        <v>381</v>
      </c>
      <c r="G25" s="212"/>
      <c r="H25" s="212"/>
      <c r="I25" s="212"/>
      <c r="J25" s="213"/>
      <c r="K25" s="214"/>
      <c r="L25" s="210"/>
    </row>
    <row r="26" spans="2:25" s="211" customFormat="1">
      <c r="B26" s="215"/>
      <c r="C26" s="105"/>
      <c r="D26" s="105" t="s">
        <v>430</v>
      </c>
      <c r="E26" s="105" t="s">
        <v>436</v>
      </c>
      <c r="F26" s="105" t="s">
        <v>399</v>
      </c>
      <c r="G26" s="105" t="s">
        <v>437</v>
      </c>
      <c r="H26" s="105" t="s">
        <v>438</v>
      </c>
      <c r="I26" s="105" t="s">
        <v>438</v>
      </c>
      <c r="J26" s="210"/>
      <c r="K26" s="210"/>
      <c r="L26" s="210"/>
    </row>
    <row r="27" spans="2:25" s="211" customFormat="1">
      <c r="B27" s="105" t="s">
        <v>268</v>
      </c>
      <c r="C27" s="105" t="s">
        <v>439</v>
      </c>
      <c r="D27" s="105" t="s">
        <v>440</v>
      </c>
      <c r="E27" s="105" t="s">
        <v>431</v>
      </c>
      <c r="F27" s="105" t="s">
        <v>441</v>
      </c>
      <c r="G27" s="105" t="s">
        <v>480</v>
      </c>
      <c r="H27" s="105" t="s">
        <v>442</v>
      </c>
      <c r="I27" s="105" t="s">
        <v>442</v>
      </c>
      <c r="J27" s="210"/>
      <c r="K27" s="210"/>
      <c r="L27" s="210"/>
    </row>
    <row r="28" spans="2:25" s="211" customFormat="1">
      <c r="B28" s="114" t="s">
        <v>269</v>
      </c>
      <c r="C28" s="114" t="s">
        <v>428</v>
      </c>
      <c r="D28" s="216" t="s">
        <v>443</v>
      </c>
      <c r="E28" s="114" t="s">
        <v>411</v>
      </c>
      <c r="F28" s="216" t="s">
        <v>501</v>
      </c>
      <c r="G28" s="191" t="str">
        <f>F8</f>
        <v>Jan 1,2013</v>
      </c>
      <c r="H28" s="114">
        <f>L1-1</f>
        <v>2013</v>
      </c>
      <c r="I28" s="114">
        <f>L1</f>
        <v>2014</v>
      </c>
      <c r="J28" s="210"/>
      <c r="K28" s="210"/>
      <c r="L28" s="210"/>
    </row>
    <row r="29" spans="2:25" s="211" customFormat="1">
      <c r="B29" s="34"/>
      <c r="C29" s="381"/>
      <c r="D29" s="217"/>
      <c r="E29" s="196"/>
      <c r="F29" s="35"/>
      <c r="G29" s="35"/>
      <c r="H29" s="35"/>
      <c r="I29" s="35"/>
      <c r="J29" s="210"/>
      <c r="K29" s="210"/>
      <c r="L29" s="210"/>
    </row>
    <row r="30" spans="2:25" s="211" customFormat="1">
      <c r="B30" s="34"/>
      <c r="C30" s="381"/>
      <c r="D30" s="217"/>
      <c r="E30" s="196"/>
      <c r="F30" s="35"/>
      <c r="G30" s="35"/>
      <c r="H30" s="35"/>
      <c r="I30" s="35"/>
      <c r="J30" s="210"/>
      <c r="K30" s="210"/>
      <c r="L30" s="210"/>
    </row>
    <row r="31" spans="2:25" s="211" customFormat="1">
      <c r="B31" s="34"/>
      <c r="C31" s="381"/>
      <c r="D31" s="217"/>
      <c r="E31" s="196"/>
      <c r="F31" s="35"/>
      <c r="G31" s="35"/>
      <c r="H31" s="35"/>
      <c r="I31" s="35"/>
      <c r="J31" s="210"/>
      <c r="K31" s="210"/>
      <c r="L31" s="210"/>
    </row>
    <row r="32" spans="2:25" s="211" customFormat="1">
      <c r="B32" s="34"/>
      <c r="C32" s="381"/>
      <c r="D32" s="217"/>
      <c r="E32" s="196"/>
      <c r="F32" s="35"/>
      <c r="G32" s="35"/>
      <c r="H32" s="35"/>
      <c r="I32" s="35"/>
      <c r="J32" s="210"/>
      <c r="K32" s="210"/>
      <c r="L32" s="210"/>
    </row>
    <row r="33" spans="2:12" s="211" customFormat="1">
      <c r="B33" s="34"/>
      <c r="C33" s="381"/>
      <c r="D33" s="217"/>
      <c r="E33" s="196"/>
      <c r="F33" s="35"/>
      <c r="G33" s="35"/>
      <c r="H33" s="35"/>
      <c r="I33" s="35"/>
      <c r="J33" s="210"/>
      <c r="K33" s="210"/>
      <c r="L33" s="210"/>
    </row>
    <row r="34" spans="2:12" s="211" customFormat="1">
      <c r="B34" s="34"/>
      <c r="C34" s="381"/>
      <c r="D34" s="217"/>
      <c r="E34" s="196"/>
      <c r="F34" s="35"/>
      <c r="G34" s="35"/>
      <c r="H34" s="35"/>
      <c r="I34" s="35"/>
      <c r="J34" s="210"/>
      <c r="K34" s="210"/>
      <c r="L34" s="210"/>
    </row>
    <row r="35" spans="2:12" s="211" customFormat="1">
      <c r="B35" s="34"/>
      <c r="C35" s="381"/>
      <c r="D35" s="217"/>
      <c r="E35" s="196"/>
      <c r="F35" s="35"/>
      <c r="G35" s="35"/>
      <c r="H35" s="35"/>
      <c r="I35" s="35"/>
      <c r="J35" s="210"/>
      <c r="K35" s="210"/>
      <c r="L35" s="210"/>
    </row>
    <row r="36" spans="2:12" s="211" customFormat="1">
      <c r="B36" s="34"/>
      <c r="C36" s="381"/>
      <c r="D36" s="217"/>
      <c r="E36" s="196"/>
      <c r="F36" s="35"/>
      <c r="G36" s="35"/>
      <c r="H36" s="35"/>
      <c r="I36" s="35"/>
      <c r="J36" s="210"/>
      <c r="K36" s="210"/>
      <c r="L36" s="210"/>
    </row>
    <row r="37" spans="2:12" s="211" customFormat="1">
      <c r="B37" s="34"/>
      <c r="C37" s="381"/>
      <c r="D37" s="217"/>
      <c r="E37" s="196"/>
      <c r="F37" s="35"/>
      <c r="G37" s="35"/>
      <c r="H37" s="35"/>
      <c r="I37" s="35"/>
      <c r="J37" s="210"/>
      <c r="K37" s="210"/>
      <c r="L37" s="210"/>
    </row>
    <row r="38" spans="2:12" s="211" customFormat="1">
      <c r="B38" s="34"/>
      <c r="C38" s="381"/>
      <c r="D38" s="217"/>
      <c r="E38" s="196"/>
      <c r="F38" s="35"/>
      <c r="G38" s="35"/>
      <c r="H38" s="35"/>
      <c r="I38" s="35"/>
      <c r="J38" s="210"/>
      <c r="K38" s="210"/>
      <c r="L38" s="210"/>
    </row>
    <row r="39" spans="2:12" s="211" customFormat="1">
      <c r="B39" s="34"/>
      <c r="C39" s="381"/>
      <c r="D39" s="217"/>
      <c r="E39" s="196"/>
      <c r="F39" s="35"/>
      <c r="G39" s="35"/>
      <c r="H39" s="35"/>
      <c r="I39" s="35"/>
      <c r="J39" s="210"/>
      <c r="K39" s="210"/>
      <c r="L39" s="210"/>
    </row>
    <row r="40" spans="2:12" s="211" customFormat="1">
      <c r="B40" s="34"/>
      <c r="C40" s="381"/>
      <c r="D40" s="217"/>
      <c r="E40" s="196"/>
      <c r="F40" s="35"/>
      <c r="G40" s="35"/>
      <c r="H40" s="35"/>
      <c r="I40" s="35"/>
      <c r="J40" s="210"/>
      <c r="K40" s="210"/>
      <c r="L40" s="210"/>
    </row>
    <row r="41" spans="2:12" s="185" customFormat="1">
      <c r="B41" s="551"/>
      <c r="C41" s="218"/>
      <c r="D41" s="218"/>
      <c r="E41" s="552" t="s">
        <v>454</v>
      </c>
      <c r="F41" s="219">
        <f>SUM(F29:F40)</f>
        <v>0</v>
      </c>
      <c r="G41" s="220">
        <f>SUM(G29:G40)</f>
        <v>0</v>
      </c>
      <c r="H41" s="220">
        <f>SUM(H29:H40)</f>
        <v>0</v>
      </c>
      <c r="I41" s="220">
        <f>SUM(I29:I40)</f>
        <v>0</v>
      </c>
      <c r="J41" s="186"/>
      <c r="K41" s="186"/>
      <c r="L41" s="77"/>
    </row>
    <row r="42" spans="2:12">
      <c r="B42" s="52"/>
      <c r="C42" s="52"/>
      <c r="D42" s="52"/>
      <c r="E42" s="52"/>
      <c r="F42" s="52"/>
      <c r="G42" s="52"/>
      <c r="H42" s="52"/>
      <c r="I42" s="52"/>
      <c r="J42" s="18"/>
      <c r="K42" s="18"/>
      <c r="L42" s="18"/>
    </row>
    <row r="43" spans="2:12">
      <c r="B43" s="221" t="s">
        <v>598</v>
      </c>
      <c r="C43" s="181"/>
      <c r="D43" s="181"/>
      <c r="E43" s="181"/>
      <c r="F43" s="181"/>
      <c r="G43" s="181"/>
      <c r="H43" s="181"/>
      <c r="I43" s="52"/>
      <c r="J43" s="18"/>
      <c r="K43" s="18"/>
      <c r="L43" s="18"/>
    </row>
  </sheetData>
  <sheetProtection sheet="1"/>
  <mergeCells count="1">
    <mergeCell ref="B23:I23"/>
  </mergeCells>
  <phoneticPr fontId="0" type="noConversion"/>
  <pageMargins left="0.41" right="0.5" top="1" bottom="0.5" header="0.5" footer="0.25"/>
  <pageSetup scale="79" orientation="landscape" blackAndWhite="1" horizontalDpi="120" verticalDpi="144" r:id="rId1"/>
  <headerFooter alignWithMargins="0">
    <oddHeader xml:space="preserve">&amp;RState of Kansas
Special District
</oddHeader>
    <oddFooter>&amp;CPage No. 5</oddFooter>
  </headerFooter>
</worksheet>
</file>

<file path=xl/worksheets/sheet11.xml><?xml version="1.0" encoding="utf-8"?>
<worksheet xmlns="http://schemas.openxmlformats.org/spreadsheetml/2006/main" xmlns:r="http://schemas.openxmlformats.org/officeDocument/2006/relationships">
  <sheetPr>
    <pageSetUpPr fitToPage="1"/>
  </sheetPr>
  <dimension ref="B1:K82"/>
  <sheetViews>
    <sheetView topLeftCell="A38" workbookViewId="0">
      <selection activeCell="P49" sqref="P49"/>
    </sheetView>
  </sheetViews>
  <sheetFormatPr defaultRowHeight="15.75"/>
  <cols>
    <col min="1" max="1" width="2.44140625" style="95" customWidth="1"/>
    <col min="2" max="2" width="31.109375" style="95" customWidth="1"/>
    <col min="3" max="5" width="15.77734375" style="95" customWidth="1"/>
    <col min="6" max="6" width="7.44140625" style="95" customWidth="1"/>
    <col min="7" max="7" width="10.21875" style="95" customWidth="1"/>
    <col min="8" max="8" width="8.88671875" style="95"/>
    <col min="9" max="9" width="5" style="95" customWidth="1"/>
    <col min="10" max="10" width="10" style="95" customWidth="1"/>
    <col min="11" max="16384" width="8.88671875" style="95"/>
  </cols>
  <sheetData>
    <row r="1" spans="2:6">
      <c r="B1" s="18" t="str">
        <f ca="1">inputPrYr!D3</f>
        <v>Crowm Hill Cemetery</v>
      </c>
      <c r="C1" s="222"/>
      <c r="D1" s="18"/>
      <c r="E1" s="182"/>
    </row>
    <row r="2" spans="2:6">
      <c r="B2" s="18" t="str">
        <f ca="1">inputPrYr!D4</f>
        <v xml:space="preserve">Comanche County </v>
      </c>
      <c r="C2" s="222"/>
      <c r="D2" s="18"/>
      <c r="E2" s="138"/>
    </row>
    <row r="3" spans="2:6">
      <c r="B3" s="490" t="s">
        <v>449</v>
      </c>
      <c r="C3" s="222"/>
      <c r="D3" s="18"/>
      <c r="E3" s="182">
        <f ca="1">inputPrYr!$D$6</f>
        <v>2014</v>
      </c>
      <c r="F3" s="567"/>
    </row>
    <row r="4" spans="2:6">
      <c r="B4" s="18"/>
      <c r="C4" s="100"/>
      <c r="D4" s="100"/>
      <c r="E4" s="100"/>
    </row>
    <row r="5" spans="2:6">
      <c r="B5" s="17" t="s">
        <v>400</v>
      </c>
      <c r="C5" s="370" t="s">
        <v>616</v>
      </c>
      <c r="D5" s="371" t="s">
        <v>615</v>
      </c>
      <c r="E5" s="223" t="s">
        <v>612</v>
      </c>
    </row>
    <row r="6" spans="2:6">
      <c r="B6" s="388" t="str">
        <f ca="1">inputPrYr!B19</f>
        <v>General</v>
      </c>
      <c r="C6" s="372" t="str">
        <f>CONCATENATE("Actual for ",E3-2,"")</f>
        <v>Actual for 2012</v>
      </c>
      <c r="D6" s="372" t="str">
        <f>CONCATENATE("Estimate for ",E3-1,"")</f>
        <v>Estimate for 2013</v>
      </c>
      <c r="E6" s="224" t="str">
        <f>CONCATENATE("Year for ",E3,"")</f>
        <v>Year for 2014</v>
      </c>
    </row>
    <row r="7" spans="2:6">
      <c r="B7" s="119" t="s">
        <v>493</v>
      </c>
      <c r="C7" s="366">
        <v>20219.650000000001</v>
      </c>
      <c r="D7" s="373">
        <f>C62</f>
        <v>12241.740000000005</v>
      </c>
      <c r="E7" s="45">
        <f>D62</f>
        <v>5518.7400000000052</v>
      </c>
    </row>
    <row r="8" spans="2:6">
      <c r="B8" s="226" t="s">
        <v>495</v>
      </c>
      <c r="C8" s="227"/>
      <c r="D8" s="227"/>
      <c r="E8" s="123"/>
    </row>
    <row r="9" spans="2:6">
      <c r="B9" s="119" t="s">
        <v>401</v>
      </c>
      <c r="C9" s="366">
        <v>26472.77</v>
      </c>
      <c r="D9" s="373">
        <f ca="1">IF(inputPrYr!H18&gt;0,inputPrYr!G19,inputPrYr!E19)</f>
        <v>36193</v>
      </c>
      <c r="E9" s="128" t="s">
        <v>396</v>
      </c>
    </row>
    <row r="10" spans="2:6">
      <c r="B10" s="119" t="s">
        <v>402</v>
      </c>
      <c r="C10" s="366"/>
      <c r="D10" s="366"/>
      <c r="E10" s="198"/>
    </row>
    <row r="11" spans="2:6">
      <c r="B11" s="119" t="s">
        <v>403</v>
      </c>
      <c r="C11" s="366"/>
      <c r="D11" s="366">
        <v>1235</v>
      </c>
      <c r="E11" s="45">
        <f ca="1">mvalloc!D11</f>
        <v>1246.01</v>
      </c>
    </row>
    <row r="12" spans="2:6">
      <c r="B12" s="119" t="s">
        <v>404</v>
      </c>
      <c r="C12" s="366"/>
      <c r="D12" s="366">
        <v>26</v>
      </c>
      <c r="E12" s="45">
        <f ca="1">mvalloc!E11</f>
        <v>17.399999999999999</v>
      </c>
    </row>
    <row r="13" spans="2:6">
      <c r="B13" s="227" t="s">
        <v>477</v>
      </c>
      <c r="C13" s="366"/>
      <c r="D13" s="366">
        <v>285</v>
      </c>
      <c r="E13" s="45">
        <f ca="1">mvalloc!F11</f>
        <v>354.36</v>
      </c>
    </row>
    <row r="14" spans="2:6">
      <c r="B14" s="227" t="s">
        <v>527</v>
      </c>
      <c r="C14" s="366"/>
      <c r="D14" s="366"/>
      <c r="E14" s="45">
        <f ca="1">inputOth!E30</f>
        <v>0</v>
      </c>
    </row>
    <row r="15" spans="2:6">
      <c r="B15" s="228" t="s">
        <v>405</v>
      </c>
      <c r="C15" s="366"/>
      <c r="D15" s="366"/>
      <c r="E15" s="198"/>
    </row>
    <row r="16" spans="2:6">
      <c r="B16" s="228" t="s">
        <v>341</v>
      </c>
      <c r="C16" s="366">
        <v>450</v>
      </c>
      <c r="D16" s="366">
        <v>500</v>
      </c>
      <c r="E16" s="198">
        <v>500</v>
      </c>
    </row>
    <row r="17" spans="2:5">
      <c r="B17" s="228" t="s">
        <v>342</v>
      </c>
      <c r="C17" s="366">
        <v>4150</v>
      </c>
      <c r="D17" s="366">
        <v>2500</v>
      </c>
      <c r="E17" s="198">
        <v>2500</v>
      </c>
    </row>
    <row r="18" spans="2:5">
      <c r="B18" s="228" t="s">
        <v>343</v>
      </c>
      <c r="C18" s="366">
        <v>85</v>
      </c>
      <c r="D18" s="366"/>
      <c r="E18" s="198"/>
    </row>
    <row r="19" spans="2:5">
      <c r="B19" s="228" t="s">
        <v>344</v>
      </c>
      <c r="C19" s="366">
        <v>645</v>
      </c>
      <c r="D19" s="366"/>
      <c r="E19" s="198"/>
    </row>
    <row r="20" spans="2:5">
      <c r="B20" s="228" t="s">
        <v>345</v>
      </c>
      <c r="C20" s="366">
        <v>58.07</v>
      </c>
      <c r="D20" s="366"/>
      <c r="E20" s="198"/>
    </row>
    <row r="21" spans="2:5">
      <c r="B21" s="228" t="s">
        <v>358</v>
      </c>
      <c r="C21" s="366"/>
      <c r="D21" s="366">
        <v>100</v>
      </c>
      <c r="E21" s="198">
        <v>100</v>
      </c>
    </row>
    <row r="22" spans="2:5">
      <c r="B22" s="228"/>
      <c r="C22" s="366"/>
      <c r="D22" s="366"/>
      <c r="E22" s="198"/>
    </row>
    <row r="23" spans="2:5">
      <c r="B23" s="228"/>
      <c r="C23" s="366"/>
      <c r="D23" s="366"/>
      <c r="E23" s="198"/>
    </row>
    <row r="24" spans="2:5">
      <c r="B24" s="228"/>
      <c r="C24" s="366"/>
      <c r="D24" s="366"/>
      <c r="E24" s="198"/>
    </row>
    <row r="25" spans="2:5">
      <c r="B25" s="228"/>
      <c r="C25" s="366"/>
      <c r="D25" s="366"/>
      <c r="E25" s="198"/>
    </row>
    <row r="26" spans="2:5">
      <c r="B26" s="228"/>
      <c r="C26" s="366"/>
      <c r="D26" s="366"/>
      <c r="E26" s="198"/>
    </row>
    <row r="27" spans="2:5">
      <c r="B27" s="228"/>
      <c r="C27" s="366"/>
      <c r="D27" s="366"/>
      <c r="E27" s="198"/>
    </row>
    <row r="28" spans="2:5">
      <c r="B28" s="228"/>
      <c r="C28" s="366"/>
      <c r="D28" s="366"/>
      <c r="E28" s="198"/>
    </row>
    <row r="29" spans="2:5">
      <c r="B29" s="229"/>
      <c r="C29" s="366"/>
      <c r="D29" s="366"/>
      <c r="E29" s="198"/>
    </row>
    <row r="30" spans="2:5">
      <c r="B30" s="229" t="s">
        <v>406</v>
      </c>
      <c r="C30" s="366"/>
      <c r="D30" s="366"/>
      <c r="E30" s="198"/>
    </row>
    <row r="31" spans="2:5">
      <c r="B31" s="230" t="s">
        <v>586</v>
      </c>
      <c r="C31" s="228"/>
      <c r="D31" s="228"/>
      <c r="E31" s="198"/>
    </row>
    <row r="32" spans="2:5">
      <c r="B32" s="230" t="s">
        <v>104</v>
      </c>
      <c r="C32" s="367" t="str">
        <f>IF(C33*0.1&lt;C31,"Exceed 10% Rule","")</f>
        <v/>
      </c>
      <c r="D32" s="367" t="str">
        <f>IF(D33*0.1&lt;D31,"Exceed 10% Rule","")</f>
        <v/>
      </c>
      <c r="E32" s="386" t="str">
        <f>IF(E33*0.1+E68&lt;E31,"Exceed 10% Rule","")</f>
        <v/>
      </c>
    </row>
    <row r="33" spans="2:5">
      <c r="B33" s="233" t="s">
        <v>407</v>
      </c>
      <c r="C33" s="368">
        <f>SUM(C9:C31)</f>
        <v>31860.84</v>
      </c>
      <c r="D33" s="368">
        <f>SUM(D9:D31)</f>
        <v>40839</v>
      </c>
      <c r="E33" s="234">
        <f>SUM(E9:E31)</f>
        <v>4717.7700000000004</v>
      </c>
    </row>
    <row r="34" spans="2:5">
      <c r="B34" s="233" t="s">
        <v>408</v>
      </c>
      <c r="C34" s="368">
        <f>C7+C33</f>
        <v>52080.490000000005</v>
      </c>
      <c r="D34" s="368">
        <f>D7+D33</f>
        <v>53080.740000000005</v>
      </c>
      <c r="E34" s="234">
        <f>E7+E33</f>
        <v>10236.510000000006</v>
      </c>
    </row>
    <row r="35" spans="2:5">
      <c r="B35" s="119" t="s">
        <v>409</v>
      </c>
      <c r="C35" s="121"/>
      <c r="D35" s="121"/>
      <c r="E35" s="36"/>
    </row>
    <row r="36" spans="2:5">
      <c r="B36" s="228" t="s">
        <v>346</v>
      </c>
      <c r="C36" s="366">
        <v>5580.38</v>
      </c>
      <c r="D36" s="366"/>
      <c r="E36" s="198"/>
    </row>
    <row r="37" spans="2:5">
      <c r="B37" s="228" t="s">
        <v>347</v>
      </c>
      <c r="C37" s="366">
        <v>20529.12</v>
      </c>
      <c r="D37" s="366"/>
      <c r="E37" s="198"/>
    </row>
    <row r="38" spans="2:5">
      <c r="B38" s="228" t="s">
        <v>348</v>
      </c>
      <c r="C38" s="366">
        <v>386.13</v>
      </c>
      <c r="D38" s="366"/>
      <c r="E38" s="198"/>
    </row>
    <row r="39" spans="2:5">
      <c r="B39" s="228" t="s">
        <v>349</v>
      </c>
      <c r="C39" s="366">
        <v>11092.12</v>
      </c>
      <c r="D39" s="366">
        <v>6000</v>
      </c>
      <c r="E39" s="198">
        <v>6000</v>
      </c>
    </row>
    <row r="40" spans="2:5">
      <c r="B40" s="228" t="s">
        <v>350</v>
      </c>
      <c r="C40" s="366">
        <v>2251</v>
      </c>
      <c r="D40" s="366"/>
      <c r="E40" s="198"/>
    </row>
    <row r="41" spans="2:5">
      <c r="B41" s="228" t="s">
        <v>352</v>
      </c>
      <c r="C41" s="366"/>
      <c r="D41" s="366">
        <v>19160</v>
      </c>
      <c r="E41" s="198">
        <v>19160</v>
      </c>
    </row>
    <row r="42" spans="2:5">
      <c r="B42" s="228" t="s">
        <v>353</v>
      </c>
      <c r="C42" s="366"/>
      <c r="D42" s="366">
        <v>3012</v>
      </c>
      <c r="E42" s="198">
        <v>3012</v>
      </c>
    </row>
    <row r="43" spans="2:5">
      <c r="B43" s="228" t="s">
        <v>586</v>
      </c>
      <c r="C43" s="366"/>
      <c r="D43" s="366">
        <v>12750</v>
      </c>
      <c r="E43" s="198">
        <v>12750</v>
      </c>
    </row>
    <row r="44" spans="2:5">
      <c r="B44" s="228" t="s">
        <v>354</v>
      </c>
      <c r="C44" s="366"/>
      <c r="D44" s="366">
        <v>2500</v>
      </c>
      <c r="E44" s="198">
        <v>2500</v>
      </c>
    </row>
    <row r="45" spans="2:5">
      <c r="B45" s="228" t="s">
        <v>355</v>
      </c>
      <c r="C45" s="366"/>
      <c r="D45" s="366">
        <v>2020</v>
      </c>
      <c r="E45" s="198">
        <v>2020</v>
      </c>
    </row>
    <row r="46" spans="2:5">
      <c r="B46" s="228" t="s">
        <v>356</v>
      </c>
      <c r="C46" s="366"/>
      <c r="D46" s="366">
        <v>1500</v>
      </c>
      <c r="E46" s="198">
        <v>1500</v>
      </c>
    </row>
    <row r="47" spans="2:5">
      <c r="B47" s="228" t="s">
        <v>357</v>
      </c>
      <c r="C47" s="366"/>
      <c r="D47" s="366">
        <v>620</v>
      </c>
      <c r="E47" s="198">
        <v>620</v>
      </c>
    </row>
    <row r="48" spans="2:5">
      <c r="B48" s="228"/>
      <c r="C48" s="366"/>
      <c r="D48" s="366"/>
      <c r="E48" s="198"/>
    </row>
    <row r="49" spans="2:11">
      <c r="B49" s="228"/>
      <c r="C49" s="366"/>
      <c r="D49" s="366"/>
      <c r="E49" s="198"/>
    </row>
    <row r="50" spans="2:11">
      <c r="B50" s="228"/>
      <c r="C50" s="366"/>
      <c r="D50" s="366"/>
      <c r="E50" s="198"/>
    </row>
    <row r="51" spans="2:11">
      <c r="B51" s="228"/>
      <c r="C51" s="366"/>
      <c r="D51" s="366"/>
      <c r="E51" s="198"/>
    </row>
    <row r="52" spans="2:11">
      <c r="B52" s="228"/>
      <c r="C52" s="366"/>
      <c r="D52" s="366"/>
      <c r="E52" s="198"/>
      <c r="F52" s="16"/>
      <c r="G52" s="680" t="str">
        <f>CONCATENATE("Desired Carryover Into ",E3+1,"")</f>
        <v>Desired Carryover Into 2015</v>
      </c>
      <c r="H52" s="681"/>
      <c r="I52" s="681"/>
      <c r="J52" s="682"/>
      <c r="K52" s="16"/>
    </row>
    <row r="53" spans="2:11">
      <c r="B53" s="228"/>
      <c r="C53" s="366"/>
      <c r="D53" s="366"/>
      <c r="E53" s="198"/>
      <c r="F53" s="16"/>
      <c r="G53" s="475"/>
      <c r="H53" s="69"/>
      <c r="I53" s="482"/>
      <c r="J53" s="474"/>
      <c r="K53" s="16"/>
    </row>
    <row r="54" spans="2:11">
      <c r="B54" s="228"/>
      <c r="C54" s="366"/>
      <c r="D54" s="366"/>
      <c r="E54" s="198"/>
      <c r="F54" s="16"/>
      <c r="G54" s="473" t="s">
        <v>206</v>
      </c>
      <c r="H54" s="482"/>
      <c r="I54" s="482"/>
      <c r="J54" s="472">
        <v>0</v>
      </c>
      <c r="K54" s="16"/>
    </row>
    <row r="55" spans="2:11">
      <c r="B55" s="228"/>
      <c r="C55" s="366"/>
      <c r="D55" s="366"/>
      <c r="E55" s="198"/>
      <c r="F55" s="16"/>
      <c r="G55" s="475" t="s">
        <v>207</v>
      </c>
      <c r="H55" s="69"/>
      <c r="I55" s="69"/>
      <c r="J55" s="578" t="str">
        <f ca="1">IF(J54=0,"",ROUND((J54+E68-G67)/inputOth!E7*1000,3)-G72)</f>
        <v/>
      </c>
      <c r="K55" s="16"/>
    </row>
    <row r="56" spans="2:11">
      <c r="B56" s="228"/>
      <c r="C56" s="366"/>
      <c r="D56" s="366"/>
      <c r="E56" s="198"/>
      <c r="F56" s="16"/>
      <c r="G56" s="579" t="str">
        <f>CONCATENATE("",E3," Tot Exp/Non-Appr Must Be:")</f>
        <v>2014 Tot Exp/Non-Appr Must Be:</v>
      </c>
      <c r="H56" s="569"/>
      <c r="I56" s="568"/>
      <c r="J56" s="580">
        <f>IF(J54&gt;0,IF(E65&lt;E34,IF(J54=G67,E65,((J54-G67)*(1-D67))+E34),E65+(J54-G67)),0)</f>
        <v>0</v>
      </c>
      <c r="K56" s="16"/>
    </row>
    <row r="57" spans="2:11">
      <c r="B57" s="228"/>
      <c r="C57" s="366"/>
      <c r="D57" s="366"/>
      <c r="E57" s="198"/>
      <c r="F57" s="16"/>
      <c r="G57" s="581" t="s">
        <v>273</v>
      </c>
      <c r="H57" s="582"/>
      <c r="I57" s="582"/>
      <c r="J57" s="583">
        <f>IF(J54&gt;0,J56-E65,0)</f>
        <v>0</v>
      </c>
      <c r="K57" s="16"/>
    </row>
    <row r="58" spans="2:11">
      <c r="B58" s="121" t="s">
        <v>587</v>
      </c>
      <c r="C58" s="366"/>
      <c r="D58" s="366"/>
      <c r="E58" s="203" t="str">
        <f ca="1">Nhood!E7</f>
        <v/>
      </c>
      <c r="F58" s="16"/>
      <c r="G58" s="16"/>
      <c r="H58" s="16"/>
      <c r="I58" s="16"/>
      <c r="J58" s="16"/>
      <c r="K58" s="16"/>
    </row>
    <row r="59" spans="2:11">
      <c r="B59" s="121" t="s">
        <v>586</v>
      </c>
      <c r="C59" s="366"/>
      <c r="D59" s="366"/>
      <c r="E59" s="35"/>
      <c r="F59" s="16"/>
      <c r="G59" s="680" t="str">
        <f>CONCATENATE("Projected Carryover Into ",E3+1,"")</f>
        <v>Projected Carryover Into 2015</v>
      </c>
      <c r="H59" s="681"/>
      <c r="I59" s="681"/>
      <c r="J59" s="682"/>
      <c r="K59" s="16"/>
    </row>
    <row r="60" spans="2:11">
      <c r="B60" s="121" t="s">
        <v>103</v>
      </c>
      <c r="C60" s="367" t="str">
        <f>IF(C61*0.1&lt;C59,"Exceed 10% Rule","")</f>
        <v/>
      </c>
      <c r="D60" s="367" t="str">
        <f>IF(D61*0.1&lt;D59,"Exceed 10% Rule","")</f>
        <v/>
      </c>
      <c r="E60" s="386" t="str">
        <f>IF(E61*0.1&lt;E59,"Exceed 10% Rule","")</f>
        <v/>
      </c>
      <c r="F60" s="16"/>
      <c r="G60" s="494"/>
      <c r="H60" s="69"/>
      <c r="I60" s="69"/>
      <c r="J60" s="483"/>
      <c r="K60" s="16"/>
    </row>
    <row r="61" spans="2:11">
      <c r="B61" s="233" t="s">
        <v>410</v>
      </c>
      <c r="C61" s="368">
        <f>SUM(C36:C59)</f>
        <v>39838.75</v>
      </c>
      <c r="D61" s="368">
        <f>SUM(D36:D59)</f>
        <v>47562</v>
      </c>
      <c r="E61" s="234">
        <f>SUM(E36:E59)</f>
        <v>47562</v>
      </c>
      <c r="F61" s="16"/>
      <c r="G61" s="489">
        <f>D62</f>
        <v>5518.7400000000052</v>
      </c>
      <c r="H61" s="488" t="str">
        <f>CONCATENATE("",E3-1," Ending Cash Balance (est.)")</f>
        <v>2013 Ending Cash Balance (est.)</v>
      </c>
      <c r="I61" s="584"/>
      <c r="J61" s="483"/>
      <c r="K61" s="16"/>
    </row>
    <row r="62" spans="2:11">
      <c r="B62" s="119" t="s">
        <v>494</v>
      </c>
      <c r="C62" s="369">
        <f>C34-C61</f>
        <v>12241.740000000005</v>
      </c>
      <c r="D62" s="369">
        <f>D34-D61</f>
        <v>5518.7400000000052</v>
      </c>
      <c r="E62" s="128" t="s">
        <v>396</v>
      </c>
      <c r="F62" s="16"/>
      <c r="G62" s="489">
        <f>E33</f>
        <v>4717.7700000000004</v>
      </c>
      <c r="H62" s="482" t="str">
        <f>CONCATENATE("",E3," Non-AV Receipts (est.)")</f>
        <v>2014 Non-AV Receipts (est.)</v>
      </c>
      <c r="I62" s="584"/>
      <c r="J62" s="483"/>
      <c r="K62" s="16"/>
    </row>
    <row r="63" spans="2:11">
      <c r="B63" s="138" t="str">
        <f>CONCATENATE("",E3-2,"/",E3-1," Budget Authority Amount:")</f>
        <v>2012/2013 Budget Authority Amount:</v>
      </c>
      <c r="C63" s="120">
        <f ca="1">inputOth!B41</f>
        <v>45482</v>
      </c>
      <c r="D63" s="387">
        <f ca="1">inputPrYr!D19</f>
        <v>48473</v>
      </c>
      <c r="E63" s="128" t="s">
        <v>396</v>
      </c>
      <c r="F63" s="251"/>
      <c r="G63" s="481">
        <f>IF(E67&gt;0,E66,E68)</f>
        <v>37325.489999999991</v>
      </c>
      <c r="H63" s="482" t="str">
        <f>CONCATENATE("",E3," Ad Valorem Tax (est.)")</f>
        <v>2014 Ad Valorem Tax (est.)</v>
      </c>
      <c r="I63" s="482"/>
      <c r="J63" s="483"/>
      <c r="K63" s="585" t="str">
        <f>IF(G63=E68,"","Note: Does not include Delinquent Taxes")</f>
        <v/>
      </c>
    </row>
    <row r="64" spans="2:11">
      <c r="B64" s="138"/>
      <c r="C64" s="688" t="s">
        <v>200</v>
      </c>
      <c r="D64" s="689"/>
      <c r="E64" s="35"/>
      <c r="F64" s="586" t="str">
        <f>IF(E61/0.95-E61&lt;E64,"Exceeds 5%","")</f>
        <v/>
      </c>
      <c r="G64" s="489">
        <f>SUM(G61:G63)</f>
        <v>47562</v>
      </c>
      <c r="H64" s="482" t="str">
        <f>CONCATENATE("Total ",E3," Resources Available")</f>
        <v>Total 2014 Resources Available</v>
      </c>
      <c r="I64" s="584"/>
      <c r="J64" s="483"/>
      <c r="K64" s="16"/>
    </row>
    <row r="65" spans="2:11">
      <c r="B65" s="385" t="str">
        <f>CONCATENATE(C81,"     ",D81)</f>
        <v xml:space="preserve">     </v>
      </c>
      <c r="C65" s="690" t="s">
        <v>201</v>
      </c>
      <c r="D65" s="691"/>
      <c r="E65" s="45">
        <f>E61+E64</f>
        <v>47562</v>
      </c>
      <c r="F65" s="16"/>
      <c r="G65" s="480"/>
      <c r="H65" s="482"/>
      <c r="I65" s="482"/>
      <c r="J65" s="483"/>
      <c r="K65" s="16"/>
    </row>
    <row r="66" spans="2:11">
      <c r="B66" s="385" t="str">
        <f>CONCATENATE(C82,"     ",D82)</f>
        <v xml:space="preserve">     </v>
      </c>
      <c r="C66" s="493"/>
      <c r="D66" s="492" t="s">
        <v>202</v>
      </c>
      <c r="E66" s="42">
        <f>IF(E65-E34&gt;0,E65-E34,0)</f>
        <v>37325.489999999991</v>
      </c>
      <c r="F66" s="16"/>
      <c r="G66" s="481">
        <f>ROUND(C61*0.05+C61,0)</f>
        <v>41831</v>
      </c>
      <c r="H66" s="482" t="str">
        <f>CONCATENATE("Less ",E3-2," Expenditures + 5%")</f>
        <v>Less 2012 Expenditures + 5%</v>
      </c>
      <c r="I66" s="584"/>
      <c r="J66" s="483"/>
      <c r="K66" s="16"/>
    </row>
    <row r="67" spans="2:11">
      <c r="B67" s="155"/>
      <c r="C67" s="491" t="s">
        <v>203</v>
      </c>
      <c r="D67" s="596">
        <f ca="1">inputOth!$E$35</f>
        <v>0</v>
      </c>
      <c r="E67" s="45">
        <f>ROUND(IF(D67&gt;0,(E66*D67),0),0)</f>
        <v>0</v>
      </c>
      <c r="F67" s="16"/>
      <c r="G67" s="479">
        <f>G64-G66</f>
        <v>5731</v>
      </c>
      <c r="H67" s="478" t="str">
        <f>CONCATENATE("Projected ",E3+1," Carryover (est.)")</f>
        <v>Projected 2015 Carryover (est.)</v>
      </c>
      <c r="I67" s="587"/>
      <c r="J67" s="477"/>
      <c r="K67" s="16"/>
    </row>
    <row r="68" spans="2:11">
      <c r="B68" s="18"/>
      <c r="C68" s="686" t="str">
        <f>CONCATENATE("Amount of  ",$E$3-1," Ad Valorem Tax")</f>
        <v>Amount of  2013 Ad Valorem Tax</v>
      </c>
      <c r="D68" s="687"/>
      <c r="E68" s="42">
        <f>E66+E67</f>
        <v>37325.489999999991</v>
      </c>
      <c r="F68" s="16"/>
      <c r="G68" s="16"/>
      <c r="H68" s="16"/>
      <c r="I68" s="16"/>
      <c r="J68" s="16"/>
      <c r="K68" s="16"/>
    </row>
    <row r="69" spans="2:11">
      <c r="B69" s="18"/>
      <c r="C69" s="18"/>
      <c r="D69" s="18"/>
      <c r="E69" s="18"/>
      <c r="F69" s="16"/>
      <c r="G69" s="683" t="s">
        <v>274</v>
      </c>
      <c r="H69" s="684"/>
      <c r="I69" s="684"/>
      <c r="J69" s="685"/>
      <c r="K69" s="16"/>
    </row>
    <row r="70" spans="2:11">
      <c r="B70" s="18"/>
      <c r="C70" s="18"/>
      <c r="D70" s="18"/>
      <c r="E70" s="18"/>
      <c r="F70" s="16"/>
      <c r="G70" s="588"/>
      <c r="H70" s="488"/>
      <c r="I70" s="570"/>
      <c r="J70" s="589"/>
      <c r="K70" s="16"/>
    </row>
    <row r="71" spans="2:11">
      <c r="B71" s="18"/>
      <c r="C71" s="18"/>
      <c r="D71" s="18"/>
      <c r="E71" s="18"/>
      <c r="F71" s="16"/>
      <c r="G71" s="590">
        <f ca="1">summ!H16</f>
        <v>0.82899999999999996</v>
      </c>
      <c r="H71" s="488" t="str">
        <f>CONCATENATE("",E3," Fund Mill Rate")</f>
        <v>2014 Fund Mill Rate</v>
      </c>
      <c r="I71" s="570"/>
      <c r="J71" s="589"/>
      <c r="K71" s="16"/>
    </row>
    <row r="72" spans="2:11">
      <c r="B72" s="18"/>
      <c r="C72" s="18"/>
      <c r="D72" s="18"/>
      <c r="E72" s="18"/>
      <c r="F72" s="591"/>
      <c r="G72" s="592">
        <f ca="1">summ!E16</f>
        <v>1.204</v>
      </c>
      <c r="H72" s="488" t="str">
        <f>CONCATENATE("",E3-1," Fund Mill Rate")</f>
        <v>2013 Fund Mill Rate</v>
      </c>
      <c r="I72" s="570"/>
      <c r="J72" s="589"/>
      <c r="K72" s="16"/>
    </row>
    <row r="73" spans="2:11">
      <c r="B73" s="18"/>
      <c r="C73" s="222"/>
      <c r="D73" s="222"/>
      <c r="E73" s="222"/>
      <c r="F73" s="575"/>
      <c r="G73" s="593">
        <f ca="1">summ!H23</f>
        <v>0.82899999999999996</v>
      </c>
      <c r="H73" s="488" t="str">
        <f>CONCATENATE("Total ",E3," Mill Rate")</f>
        <v>Total 2014 Mill Rate</v>
      </c>
      <c r="I73" s="570"/>
      <c r="J73" s="589"/>
      <c r="K73" s="16"/>
    </row>
    <row r="74" spans="2:11">
      <c r="B74" s="138"/>
      <c r="C74" s="18" t="s">
        <v>595</v>
      </c>
      <c r="D74" s="18"/>
      <c r="E74" s="18"/>
      <c r="F74" s="575"/>
      <c r="G74" s="592">
        <f ca="1">summ!E23</f>
        <v>1.204</v>
      </c>
      <c r="H74" s="594" t="str">
        <f>CONCATENATE("Total ",E3-1," Mill Rate")</f>
        <v>Total 2013 Mill Rate</v>
      </c>
      <c r="I74" s="595"/>
      <c r="J74" s="78"/>
      <c r="K74" s="16"/>
    </row>
    <row r="76" spans="2:11">
      <c r="B76" s="61"/>
      <c r="G76" s="631" t="s">
        <v>72</v>
      </c>
      <c r="H76" s="630"/>
      <c r="I76" s="629" t="str">
        <f ca="1">cert!F31</f>
        <v>Yes</v>
      </c>
    </row>
    <row r="81" spans="3:4" hidden="1">
      <c r="C81" s="95" t="str">
        <f>IF(C61&gt;C63,"See Tab A","")</f>
        <v/>
      </c>
      <c r="D81" s="95" t="str">
        <f>IF(D61&gt;D63,"See Tab C","")</f>
        <v/>
      </c>
    </row>
    <row r="82" spans="3:4" hidden="1">
      <c r="C82" s="95" t="str">
        <f>IF(C62&lt;0,"See Tab B","")</f>
        <v/>
      </c>
      <c r="D82" s="95" t="str">
        <f>IF(D62&lt;0,"See Tab D","")</f>
        <v/>
      </c>
    </row>
  </sheetData>
  <sheetProtection sheet="1"/>
  <mergeCells count="6">
    <mergeCell ref="G52:J52"/>
    <mergeCell ref="G59:J59"/>
    <mergeCell ref="G69:J69"/>
    <mergeCell ref="C68:D68"/>
    <mergeCell ref="C64:D64"/>
    <mergeCell ref="C65:D65"/>
  </mergeCells>
  <phoneticPr fontId="0" type="noConversion"/>
  <conditionalFormatting sqref="E64">
    <cfRule type="cellIs" dxfId="61" priority="2" stopIfTrue="1" operator="greaterThan">
      <formula>$E$61/0.95-$E$61</formula>
    </cfRule>
  </conditionalFormatting>
  <conditionalFormatting sqref="C59">
    <cfRule type="cellIs" dxfId="60" priority="3" stopIfTrue="1" operator="greaterThan">
      <formula>$C$61*0.1</formula>
    </cfRule>
  </conditionalFormatting>
  <conditionalFormatting sqref="D59">
    <cfRule type="cellIs" dxfId="59" priority="4" stopIfTrue="1" operator="greaterThan">
      <formula>$D$61*0.1</formula>
    </cfRule>
  </conditionalFormatting>
  <conditionalFormatting sqref="E59">
    <cfRule type="cellIs" dxfId="58" priority="5" stopIfTrue="1" operator="greaterThan">
      <formula>$E$61*0.1</formula>
    </cfRule>
  </conditionalFormatting>
  <conditionalFormatting sqref="C31">
    <cfRule type="cellIs" dxfId="57" priority="6" stopIfTrue="1" operator="greaterThan">
      <formula>$C$33*0.1</formula>
    </cfRule>
  </conditionalFormatting>
  <conditionalFormatting sqref="D31">
    <cfRule type="cellIs" dxfId="56" priority="7" stopIfTrue="1" operator="greaterThan">
      <formula>$D$33*0.1</formula>
    </cfRule>
  </conditionalFormatting>
  <conditionalFormatting sqref="C62">
    <cfRule type="cellIs" dxfId="55" priority="8" stopIfTrue="1" operator="lessThan">
      <formula>0</formula>
    </cfRule>
  </conditionalFormatting>
  <conditionalFormatting sqref="E31">
    <cfRule type="cellIs" dxfId="54" priority="11" stopIfTrue="1" operator="greaterThan">
      <formula>$E$33*0.1+$E$68</formula>
    </cfRule>
  </conditionalFormatting>
  <conditionalFormatting sqref="D62">
    <cfRule type="cellIs" dxfId="53" priority="1" stopIfTrue="1" operator="lessThan">
      <formula>0</formula>
    </cfRule>
  </conditionalFormatting>
  <conditionalFormatting sqref="D61">
    <cfRule type="cellIs" dxfId="52" priority="20" stopIfTrue="1" operator="greaterThan">
      <formula>$D$63</formula>
    </cfRule>
  </conditionalFormatting>
  <conditionalFormatting sqref="C61">
    <cfRule type="cellIs" dxfId="51" priority="28" stopIfTrue="1" operator="greaterThan">
      <formula>$C$63</formula>
    </cfRule>
  </conditionalFormatting>
  <pageMargins left="1" right="1" top="0.5" bottom="0.5" header="0.5" footer="0.5"/>
  <pageSetup scale="67" orientation="portrait" blackAndWhite="1" horizontalDpi="120" verticalDpi="144" r:id="rId1"/>
  <headerFooter alignWithMargins="0">
    <oddHeader xml:space="preserve">&amp;RState of Kansas
Special District
</oddHeader>
  </headerFooter>
</worksheet>
</file>

<file path=xl/worksheets/sheet12.xml><?xml version="1.0" encoding="utf-8"?>
<worksheet xmlns="http://schemas.openxmlformats.org/spreadsheetml/2006/main" xmlns:r="http://schemas.openxmlformats.org/officeDocument/2006/relationships">
  <sheetPr>
    <pageSetUpPr fitToPage="1"/>
  </sheetPr>
  <dimension ref="B1:K70"/>
  <sheetViews>
    <sheetView workbookViewId="0">
      <selection activeCell="L7" sqref="L7"/>
    </sheetView>
  </sheetViews>
  <sheetFormatPr defaultRowHeight="15.75"/>
  <cols>
    <col min="1" max="1" width="2.44140625" style="16" customWidth="1"/>
    <col min="2" max="2" width="31.109375" style="16" customWidth="1"/>
    <col min="3" max="5" width="15.77734375" style="16" customWidth="1"/>
    <col min="6" max="6" width="7.44140625" style="95" customWidth="1"/>
    <col min="7" max="7" width="10.21875" style="95" customWidth="1"/>
    <col min="8" max="8" width="8.88671875" style="95"/>
    <col min="9" max="9" width="5" style="95" customWidth="1"/>
    <col min="10" max="10" width="10" style="95" customWidth="1"/>
    <col min="11" max="16384" width="8.88671875" style="16"/>
  </cols>
  <sheetData>
    <row r="1" spans="2:6">
      <c r="B1" s="156" t="str">
        <f ca="1">inputPrYr!D3</f>
        <v>Crowm Hill Cemetery</v>
      </c>
      <c r="C1" s="18"/>
      <c r="D1" s="18"/>
      <c r="E1" s="236">
        <f ca="1">inputPrYr!$D$6</f>
        <v>2014</v>
      </c>
    </row>
    <row r="2" spans="2:6">
      <c r="B2" s="18"/>
      <c r="C2" s="18"/>
      <c r="D2" s="18"/>
      <c r="E2" s="155"/>
    </row>
    <row r="3" spans="2:6">
      <c r="B3" s="490" t="s">
        <v>449</v>
      </c>
      <c r="C3" s="222"/>
      <c r="D3" s="222"/>
      <c r="E3" s="237"/>
      <c r="F3" s="567"/>
    </row>
    <row r="4" spans="2:6">
      <c r="B4" s="43" t="s">
        <v>400</v>
      </c>
      <c r="C4" s="370" t="s">
        <v>614</v>
      </c>
      <c r="D4" s="371" t="s">
        <v>615</v>
      </c>
      <c r="E4" s="223" t="s">
        <v>612</v>
      </c>
    </row>
    <row r="5" spans="2:6">
      <c r="B5" s="389" t="s">
        <v>639</v>
      </c>
      <c r="C5" s="378" t="str">
        <f>CONCATENATE("Actual for ",E1-2,"")</f>
        <v>Actual for 2012</v>
      </c>
      <c r="D5" s="378" t="str">
        <f>CONCATENATE("Estimate for ",E1-1,"")</f>
        <v>Estimate for 2013</v>
      </c>
      <c r="E5" s="170" t="str">
        <f>CONCATENATE("Year for ",E1,"")</f>
        <v>Year for 2014</v>
      </c>
    </row>
    <row r="6" spans="2:6">
      <c r="B6" s="113" t="s">
        <v>493</v>
      </c>
      <c r="C6" s="375"/>
      <c r="D6" s="379">
        <f>C54</f>
        <v>0</v>
      </c>
      <c r="E6" s="239">
        <f>D54</f>
        <v>0</v>
      </c>
    </row>
    <row r="7" spans="2:6">
      <c r="B7" s="240" t="s">
        <v>495</v>
      </c>
      <c r="C7" s="377"/>
      <c r="D7" s="379"/>
      <c r="E7" s="239"/>
    </row>
    <row r="8" spans="2:6">
      <c r="B8" s="113" t="s">
        <v>401</v>
      </c>
      <c r="C8" s="366"/>
      <c r="D8" s="377">
        <f ca="1">IF(inputPrYr!H18&gt;0,inputPrYr!G20,inputPrYr!E20)</f>
        <v>0</v>
      </c>
      <c r="E8" s="241" t="s">
        <v>396</v>
      </c>
    </row>
    <row r="9" spans="2:6">
      <c r="B9" s="113" t="s">
        <v>402</v>
      </c>
      <c r="C9" s="366"/>
      <c r="D9" s="366"/>
      <c r="E9" s="242"/>
    </row>
    <row r="10" spans="2:6">
      <c r="B10" s="113" t="s">
        <v>403</v>
      </c>
      <c r="C10" s="366"/>
      <c r="D10" s="366"/>
      <c r="E10" s="243">
        <f ca="1">mvalloc!D12</f>
        <v>0</v>
      </c>
    </row>
    <row r="11" spans="2:6">
      <c r="B11" s="113" t="s">
        <v>404</v>
      </c>
      <c r="C11" s="366"/>
      <c r="D11" s="366"/>
      <c r="E11" s="243">
        <f ca="1">mvalloc!E12</f>
        <v>0</v>
      </c>
    </row>
    <row r="12" spans="2:6">
      <c r="B12" s="244" t="s">
        <v>477</v>
      </c>
      <c r="C12" s="366"/>
      <c r="D12" s="366"/>
      <c r="E12" s="243">
        <f ca="1">mvalloc!F12</f>
        <v>0</v>
      </c>
    </row>
    <row r="13" spans="2:6">
      <c r="B13" s="245"/>
      <c r="C13" s="366"/>
      <c r="D13" s="366"/>
      <c r="E13" s="242"/>
    </row>
    <row r="14" spans="2:6">
      <c r="B14" s="245"/>
      <c r="C14" s="366"/>
      <c r="D14" s="366"/>
      <c r="E14" s="242"/>
    </row>
    <row r="15" spans="2:6">
      <c r="B15" s="487"/>
      <c r="C15" s="366"/>
      <c r="D15" s="366"/>
      <c r="E15" s="246"/>
    </row>
    <row r="16" spans="2:6">
      <c r="B16" s="245"/>
      <c r="C16" s="366"/>
      <c r="D16" s="366"/>
      <c r="E16" s="242"/>
    </row>
    <row r="17" spans="2:5">
      <c r="B17" s="245"/>
      <c r="C17" s="366"/>
      <c r="D17" s="366"/>
      <c r="E17" s="246"/>
    </row>
    <row r="18" spans="2:5">
      <c r="B18" s="245"/>
      <c r="C18" s="366"/>
      <c r="D18" s="366"/>
      <c r="E18" s="242"/>
    </row>
    <row r="19" spans="2:5">
      <c r="B19" s="245"/>
      <c r="C19" s="366"/>
      <c r="D19" s="366"/>
      <c r="E19" s="242"/>
    </row>
    <row r="20" spans="2:5">
      <c r="B20" s="245"/>
      <c r="C20" s="366"/>
      <c r="D20" s="366"/>
      <c r="E20" s="242"/>
    </row>
    <row r="21" spans="2:5">
      <c r="B21" s="245"/>
      <c r="C21" s="366"/>
      <c r="D21" s="366"/>
      <c r="E21" s="242"/>
    </row>
    <row r="22" spans="2:5">
      <c r="B22" s="245"/>
      <c r="C22" s="366"/>
      <c r="D22" s="366"/>
      <c r="E22" s="242"/>
    </row>
    <row r="23" spans="2:5">
      <c r="B23" s="245"/>
      <c r="C23" s="366"/>
      <c r="D23" s="366"/>
      <c r="E23" s="242"/>
    </row>
    <row r="24" spans="2:5">
      <c r="B24" s="245"/>
      <c r="C24" s="366"/>
      <c r="D24" s="366"/>
      <c r="E24" s="242"/>
    </row>
    <row r="25" spans="2:5">
      <c r="B25" s="245" t="s">
        <v>526</v>
      </c>
      <c r="C25" s="366"/>
      <c r="D25" s="366"/>
      <c r="E25" s="242"/>
    </row>
    <row r="26" spans="2:5">
      <c r="B26" s="247" t="s">
        <v>406</v>
      </c>
      <c r="C26" s="366"/>
      <c r="D26" s="366"/>
      <c r="E26" s="242"/>
    </row>
    <row r="27" spans="2:5">
      <c r="B27" s="230" t="s">
        <v>586</v>
      </c>
      <c r="C27" s="375"/>
      <c r="D27" s="375"/>
      <c r="E27" s="242"/>
    </row>
    <row r="28" spans="2:5">
      <c r="B28" s="230" t="s">
        <v>104</v>
      </c>
      <c r="C28" s="367" t="str">
        <f>IF(C29*0.1&lt;C27,"Exceed 10% Rule","")</f>
        <v/>
      </c>
      <c r="D28" s="367" t="str">
        <f>IF(D29*0.1&lt;D27,"Exceed 10% Rule","")</f>
        <v/>
      </c>
      <c r="E28" s="386" t="str">
        <f>IF(E29*0.1+E60&lt;E27,"Exceed 10% Rule","")</f>
        <v/>
      </c>
    </row>
    <row r="29" spans="2:5">
      <c r="B29" s="233" t="s">
        <v>407</v>
      </c>
      <c r="C29" s="376">
        <f>SUM(C8:C27)</f>
        <v>0</v>
      </c>
      <c r="D29" s="376">
        <f>SUM(D8:D27)</f>
        <v>0</v>
      </c>
      <c r="E29" s="248">
        <f>SUM(E8:E27)</f>
        <v>0</v>
      </c>
    </row>
    <row r="30" spans="2:5">
      <c r="B30" s="233" t="s">
        <v>408</v>
      </c>
      <c r="C30" s="376">
        <f>C6+C29</f>
        <v>0</v>
      </c>
      <c r="D30" s="376">
        <f>D6+D29</f>
        <v>0</v>
      </c>
      <c r="E30" s="249">
        <f>E6+E29</f>
        <v>0</v>
      </c>
    </row>
    <row r="31" spans="2:5">
      <c r="B31" s="240" t="s">
        <v>409</v>
      </c>
      <c r="C31" s="377"/>
      <c r="D31" s="377"/>
      <c r="E31" s="243"/>
    </row>
    <row r="32" spans="2:5">
      <c r="B32" s="250"/>
      <c r="C32" s="366"/>
      <c r="D32" s="366"/>
      <c r="E32" s="242"/>
    </row>
    <row r="33" spans="2:11">
      <c r="B33" s="250"/>
      <c r="C33" s="366"/>
      <c r="D33" s="366"/>
      <c r="E33" s="242"/>
    </row>
    <row r="34" spans="2:11">
      <c r="B34" s="250"/>
      <c r="C34" s="366"/>
      <c r="D34" s="366"/>
      <c r="E34" s="242"/>
    </row>
    <row r="35" spans="2:11">
      <c r="B35" s="250"/>
      <c r="C35" s="366"/>
      <c r="D35" s="366"/>
      <c r="E35" s="242"/>
    </row>
    <row r="36" spans="2:11">
      <c r="B36" s="250"/>
      <c r="C36" s="366"/>
      <c r="D36" s="366"/>
      <c r="E36" s="242"/>
    </row>
    <row r="37" spans="2:11">
      <c r="B37" s="250"/>
      <c r="C37" s="366"/>
      <c r="D37" s="366"/>
      <c r="E37" s="242"/>
    </row>
    <row r="38" spans="2:11">
      <c r="B38" s="250"/>
      <c r="C38" s="366"/>
      <c r="D38" s="366"/>
      <c r="E38" s="242"/>
    </row>
    <row r="39" spans="2:11">
      <c r="B39" s="250"/>
      <c r="C39" s="366"/>
      <c r="D39" s="366"/>
      <c r="E39" s="242"/>
    </row>
    <row r="40" spans="2:11">
      <c r="B40" s="250"/>
      <c r="C40" s="366"/>
      <c r="D40" s="366"/>
      <c r="E40" s="242"/>
    </row>
    <row r="41" spans="2:11">
      <c r="B41" s="250"/>
      <c r="C41" s="366"/>
      <c r="D41" s="366"/>
      <c r="E41" s="242"/>
    </row>
    <row r="42" spans="2:11">
      <c r="B42" s="250"/>
      <c r="C42" s="366"/>
      <c r="D42" s="366"/>
      <c r="E42" s="242"/>
    </row>
    <row r="43" spans="2:11">
      <c r="B43" s="250"/>
      <c r="C43" s="366"/>
      <c r="D43" s="366"/>
      <c r="E43" s="242"/>
    </row>
    <row r="44" spans="2:11">
      <c r="B44" s="250"/>
      <c r="C44" s="366"/>
      <c r="D44" s="366"/>
      <c r="E44" s="242"/>
      <c r="F44" s="597"/>
      <c r="G44" s="680" t="str">
        <f>CONCATENATE("Desired Carryover Into ",E1+1,"")</f>
        <v>Desired Carryover Into 2015</v>
      </c>
      <c r="H44" s="681"/>
      <c r="I44" s="681"/>
      <c r="J44" s="682"/>
      <c r="K44" s="597"/>
    </row>
    <row r="45" spans="2:11">
      <c r="B45" s="250"/>
      <c r="C45" s="366"/>
      <c r="D45" s="366"/>
      <c r="E45" s="242"/>
      <c r="F45" s="597"/>
      <c r="G45" s="475"/>
      <c r="H45" s="69"/>
      <c r="I45" s="482"/>
      <c r="J45" s="474"/>
      <c r="K45" s="597"/>
    </row>
    <row r="46" spans="2:11">
      <c r="B46" s="250"/>
      <c r="C46" s="366"/>
      <c r="D46" s="366"/>
      <c r="E46" s="242"/>
      <c r="F46" s="597"/>
      <c r="G46" s="473" t="s">
        <v>206</v>
      </c>
      <c r="H46" s="482"/>
      <c r="I46" s="482"/>
      <c r="J46" s="472">
        <v>0</v>
      </c>
      <c r="K46" s="597"/>
    </row>
    <row r="47" spans="2:11">
      <c r="B47" s="250"/>
      <c r="C47" s="366"/>
      <c r="D47" s="366"/>
      <c r="E47" s="242"/>
      <c r="F47" s="597"/>
      <c r="G47" s="475" t="s">
        <v>207</v>
      </c>
      <c r="H47" s="69"/>
      <c r="I47" s="69"/>
      <c r="J47" s="598" t="str">
        <f ca="1">IF(J46=0,"",ROUND((J46+E60-G59)/inputOth!E7*1000,3)-G64)</f>
        <v/>
      </c>
      <c r="K47" s="597"/>
    </row>
    <row r="48" spans="2:11">
      <c r="B48" s="250"/>
      <c r="C48" s="366"/>
      <c r="D48" s="366"/>
      <c r="E48" s="242"/>
      <c r="F48" s="597"/>
      <c r="G48" s="579" t="str">
        <f>CONCATENATE("",E1," Tot Exp/Non-Appr Must Be:")</f>
        <v>2014 Tot Exp/Non-Appr Must Be:</v>
      </c>
      <c r="H48" s="569"/>
      <c r="I48" s="568"/>
      <c r="J48" s="580">
        <f>IF(J46&gt;0,IF(E57&lt;E30,IF(J46=G59,E57,((J46-G59)*(1-D59))+E30),E57+(J46-G59)),0)</f>
        <v>0</v>
      </c>
      <c r="K48" s="597"/>
    </row>
    <row r="49" spans="2:11">
      <c r="B49" s="250"/>
      <c r="C49" s="366"/>
      <c r="D49" s="366"/>
      <c r="E49" s="242"/>
      <c r="F49" s="597"/>
      <c r="G49" s="581" t="s">
        <v>273</v>
      </c>
      <c r="H49" s="582"/>
      <c r="I49" s="582"/>
      <c r="J49" s="583">
        <f>IF(J46&gt;0,J48-E57,0)</f>
        <v>0</v>
      </c>
      <c r="K49" s="597"/>
    </row>
    <row r="50" spans="2:11">
      <c r="B50" s="121" t="s">
        <v>587</v>
      </c>
      <c r="C50" s="375"/>
      <c r="D50" s="375"/>
      <c r="E50" s="176" t="str">
        <f ca="1">Nhood!E8</f>
        <v/>
      </c>
      <c r="F50" s="597"/>
      <c r="G50" s="597"/>
      <c r="H50" s="597"/>
      <c r="I50" s="597"/>
      <c r="J50" s="597"/>
      <c r="K50" s="597"/>
    </row>
    <row r="51" spans="2:11">
      <c r="B51" s="121" t="s">
        <v>586</v>
      </c>
      <c r="C51" s="375"/>
      <c r="D51" s="375"/>
      <c r="E51" s="242"/>
      <c r="F51" s="597"/>
      <c r="G51" s="680" t="str">
        <f>CONCATENATE("Projected Carryover Into ",E1+1,"")</f>
        <v>Projected Carryover Into 2015</v>
      </c>
      <c r="H51" s="692"/>
      <c r="I51" s="692"/>
      <c r="J51" s="693"/>
      <c r="K51" s="597"/>
    </row>
    <row r="52" spans="2:11">
      <c r="B52" s="121" t="s">
        <v>103</v>
      </c>
      <c r="C52" s="367" t="str">
        <f>IF(C53*0.1&lt;C51,"Exceed 10% Rule","")</f>
        <v/>
      </c>
      <c r="D52" s="367" t="str">
        <f>IF(D53*0.1&lt;D51,"Exceed 10% Rule","")</f>
        <v/>
      </c>
      <c r="E52" s="386" t="str">
        <f>IF(E53*0.1&lt;E51,"Exceed 10% Rule","")</f>
        <v/>
      </c>
      <c r="F52" s="597"/>
      <c r="G52" s="475"/>
      <c r="H52" s="482"/>
      <c r="I52" s="482"/>
      <c r="J52" s="599"/>
      <c r="K52" s="597"/>
    </row>
    <row r="53" spans="2:11">
      <c r="B53" s="233" t="s">
        <v>410</v>
      </c>
      <c r="C53" s="376">
        <f>SUM(C32:C51)</f>
        <v>0</v>
      </c>
      <c r="D53" s="376">
        <f>SUM(D32:D51)</f>
        <v>0</v>
      </c>
      <c r="E53" s="248">
        <f>SUM(E32:E51)</f>
        <v>0</v>
      </c>
      <c r="F53" s="597"/>
      <c r="G53" s="489">
        <f>D54</f>
        <v>0</v>
      </c>
      <c r="H53" s="488" t="str">
        <f>CONCATENATE("",E1-1," Ending Cash Balance (est.)")</f>
        <v>2013 Ending Cash Balance (est.)</v>
      </c>
      <c r="I53" s="584"/>
      <c r="J53" s="599"/>
      <c r="K53" s="597"/>
    </row>
    <row r="54" spans="2:11">
      <c r="B54" s="113" t="s">
        <v>494</v>
      </c>
      <c r="C54" s="374">
        <f>C30-C53</f>
        <v>0</v>
      </c>
      <c r="D54" s="374">
        <f>D30-D53</f>
        <v>0</v>
      </c>
      <c r="E54" s="241" t="s">
        <v>396</v>
      </c>
      <c r="F54"/>
      <c r="G54" s="489">
        <f>E29</f>
        <v>0</v>
      </c>
      <c r="H54" s="482" t="str">
        <f>CONCATENATE("",E1," Non-AV Receipts (est.)")</f>
        <v>2014 Non-AV Receipts (est.)</v>
      </c>
      <c r="I54" s="584"/>
      <c r="J54" s="599"/>
      <c r="K54" s="597"/>
    </row>
    <row r="55" spans="2:11">
      <c r="B55" s="138" t="str">
        <f>CONCATENATE("",E1-2,"/",E1-1," Budget Authority Amount:")</f>
        <v>2012/2013 Budget Authority Amount:</v>
      </c>
      <c r="C55" s="120">
        <f ca="1">inputOth!B42</f>
        <v>0</v>
      </c>
      <c r="D55" s="387">
        <f ca="1">inputPrYr!D20</f>
        <v>0</v>
      </c>
      <c r="E55" s="241" t="s">
        <v>396</v>
      </c>
      <c r="F55" s="251"/>
      <c r="G55" s="481">
        <f>IF(E59&gt;0,E58,E60)</f>
        <v>0</v>
      </c>
      <c r="H55" s="482" t="str">
        <f>CONCATENATE("",E1," Ad Valorem Tax (est.)")</f>
        <v>2014 Ad Valorem Tax (est.)</v>
      </c>
      <c r="I55" s="584"/>
      <c r="J55" s="599"/>
      <c r="K55" s="585" t="str">
        <f>IF(G55=E60,"","Note: Does not include Delinquent Taxes")</f>
        <v/>
      </c>
    </row>
    <row r="56" spans="2:11">
      <c r="B56" s="138"/>
      <c r="C56" s="688" t="s">
        <v>200</v>
      </c>
      <c r="D56" s="689"/>
      <c r="E56" s="35"/>
      <c r="F56" s="600" t="str">
        <f>IF(E53/0.95-E53&lt;E56,"Exceeds 5%","")</f>
        <v/>
      </c>
      <c r="G56" s="489">
        <f>SUM(G53:G55)</f>
        <v>0</v>
      </c>
      <c r="H56" s="482" t="str">
        <f>CONCATENATE("Total ",E1," Resources Available")</f>
        <v>Total 2014 Resources Available</v>
      </c>
      <c r="I56" s="584"/>
      <c r="J56" s="599"/>
      <c r="K56" s="597"/>
    </row>
    <row r="57" spans="2:11">
      <c r="B57" s="385" t="str">
        <f>CONCATENATE(C68,"     ",D68)</f>
        <v xml:space="preserve">     </v>
      </c>
      <c r="C57" s="690" t="s">
        <v>201</v>
      </c>
      <c r="D57" s="691"/>
      <c r="E57" s="45">
        <f>E53+E56</f>
        <v>0</v>
      </c>
      <c r="F57"/>
      <c r="G57" s="480"/>
      <c r="H57" s="482"/>
      <c r="I57" s="482"/>
      <c r="J57" s="599"/>
      <c r="K57" s="597"/>
    </row>
    <row r="58" spans="2:11">
      <c r="B58" s="385" t="str">
        <f>CONCATENATE(C69,"     ",D69)</f>
        <v xml:space="preserve">     </v>
      </c>
      <c r="C58" s="493"/>
      <c r="D58" s="492" t="s">
        <v>202</v>
      </c>
      <c r="E58" s="42">
        <f>IF(E57-E30&gt;0,E57-E30,0)</f>
        <v>0</v>
      </c>
      <c r="F58"/>
      <c r="G58" s="481">
        <f>C53</f>
        <v>0</v>
      </c>
      <c r="H58" s="482" t="str">
        <f>CONCATENATE("Less ",E1-2," Expenditures")</f>
        <v>Less 2012 Expenditures</v>
      </c>
      <c r="I58" s="482"/>
      <c r="J58" s="599"/>
      <c r="K58" s="597"/>
    </row>
    <row r="59" spans="2:11">
      <c r="B59" s="155"/>
      <c r="C59" s="491" t="s">
        <v>203</v>
      </c>
      <c r="D59" s="596">
        <f ca="1">inputOth!$E$35</f>
        <v>0</v>
      </c>
      <c r="E59" s="45">
        <f>ROUND(IF(D59&gt;0,(E58*D59),0),0)</f>
        <v>0</v>
      </c>
      <c r="F59"/>
      <c r="G59" s="517">
        <f>G56-G58</f>
        <v>0</v>
      </c>
      <c r="H59" s="470" t="str">
        <f>CONCATENATE("Projected ",E1+1," carryover (est.)")</f>
        <v>Projected 2015 carryover (est.)</v>
      </c>
      <c r="I59" s="587"/>
      <c r="J59" s="601"/>
      <c r="K59" s="597"/>
    </row>
    <row r="60" spans="2:11">
      <c r="B60" s="18"/>
      <c r="C60" s="686" t="str">
        <f>CONCATENATE("Amount of  ",$E$1-1," Ad Valorem Tax")</f>
        <v>Amount of  2013 Ad Valorem Tax</v>
      </c>
      <c r="D60" s="687"/>
      <c r="E60" s="42">
        <f>E58+E59</f>
        <v>0</v>
      </c>
      <c r="F60"/>
      <c r="G60" s="597"/>
      <c r="H60" s="597"/>
      <c r="I60" s="597"/>
      <c r="J60" s="597"/>
      <c r="K60" s="597"/>
    </row>
    <row r="61" spans="2:11">
      <c r="B61" s="155"/>
      <c r="C61" s="18"/>
      <c r="D61" s="18"/>
      <c r="E61" s="18"/>
      <c r="F61"/>
      <c r="G61" s="683" t="s">
        <v>274</v>
      </c>
      <c r="H61" s="684"/>
      <c r="I61" s="684"/>
      <c r="J61" s="685"/>
      <c r="K61" s="597"/>
    </row>
    <row r="62" spans="2:11">
      <c r="B62" s="138" t="s">
        <v>412</v>
      </c>
      <c r="C62" s="252"/>
      <c r="D62" s="18"/>
      <c r="E62" s="18"/>
      <c r="F62"/>
      <c r="G62" s="588"/>
      <c r="H62" s="488"/>
      <c r="I62" s="570"/>
      <c r="J62" s="589"/>
      <c r="K62" s="597"/>
    </row>
    <row r="63" spans="2:11">
      <c r="F63"/>
      <c r="G63" s="590" t="str">
        <f ca="1">summ!H17</f>
        <v xml:space="preserve"> </v>
      </c>
      <c r="H63" s="488" t="str">
        <f>CONCATENATE("",E1," Fund Mill Rate")</f>
        <v>2014 Fund Mill Rate</v>
      </c>
      <c r="I63" s="570"/>
      <c r="J63" s="589"/>
      <c r="K63" s="597"/>
    </row>
    <row r="64" spans="2:11">
      <c r="F64"/>
      <c r="G64" s="592" t="str">
        <f ca="1">summ!E17</f>
        <v xml:space="preserve">  </v>
      </c>
      <c r="H64" s="488" t="str">
        <f>CONCATENATE("",E1-1," Fund Mill Rate")</f>
        <v>2013 Fund Mill Rate</v>
      </c>
      <c r="I64" s="570"/>
      <c r="J64" s="589"/>
      <c r="K64" s="597"/>
    </row>
    <row r="65" spans="3:11">
      <c r="F65"/>
      <c r="G65" s="593">
        <f ca="1">summ!H23</f>
        <v>0.82899999999999996</v>
      </c>
      <c r="H65" s="488" t="str">
        <f>CONCATENATE("Total ",E1," Mill Rate")</f>
        <v>Total 2014 Mill Rate</v>
      </c>
      <c r="I65" s="570"/>
      <c r="J65" s="589"/>
      <c r="K65" s="597"/>
    </row>
    <row r="66" spans="3:11">
      <c r="F66"/>
      <c r="G66" s="592">
        <f ca="1">summ!E23</f>
        <v>1.204</v>
      </c>
      <c r="H66" s="594" t="str">
        <f>CONCATENATE("Total ",E1-1," Mill Rate")</f>
        <v>Total 2013 Mill Rate</v>
      </c>
      <c r="I66" s="595"/>
      <c r="J66" s="78"/>
      <c r="K66" s="597"/>
    </row>
    <row r="67" spans="3:11">
      <c r="G67" s="573"/>
      <c r="H67" s="476"/>
      <c r="I67" s="573"/>
      <c r="J67" s="571"/>
    </row>
    <row r="68" spans="3:11" ht="15.75" hidden="1" customHeight="1">
      <c r="C68" s="16" t="str">
        <f>IF(C53&gt;C55,"See Tab A","")</f>
        <v/>
      </c>
      <c r="D68" s="16" t="str">
        <f>IF(D53&gt;D55,"See Tab C","")</f>
        <v/>
      </c>
      <c r="G68" s="572"/>
      <c r="H68" s="573"/>
      <c r="I68" s="573"/>
      <c r="J68" s="576"/>
    </row>
    <row r="69" spans="3:11" ht="15.75" hidden="1" customHeight="1">
      <c r="C69" s="16" t="str">
        <f>IF(C54&lt;0,"See Tab B","")</f>
        <v/>
      </c>
      <c r="D69" s="16" t="str">
        <f>IF(D54&lt;0,"See Tab D","")</f>
        <v/>
      </c>
      <c r="G69" s="573"/>
      <c r="H69" s="476"/>
      <c r="I69" s="476"/>
      <c r="J69" s="577"/>
    </row>
    <row r="70" spans="3:11">
      <c r="G70" s="631" t="s">
        <v>72</v>
      </c>
      <c r="H70" s="630"/>
      <c r="I70" s="629" t="str">
        <f ca="1">cert!F31</f>
        <v>Yes</v>
      </c>
      <c r="J70" s="574"/>
    </row>
  </sheetData>
  <sheetProtection sheet="1"/>
  <mergeCells count="6">
    <mergeCell ref="G44:J44"/>
    <mergeCell ref="G51:J51"/>
    <mergeCell ref="G61:J61"/>
    <mergeCell ref="C60:D60"/>
    <mergeCell ref="C56:D56"/>
    <mergeCell ref="C57:D57"/>
  </mergeCells>
  <phoneticPr fontId="15" type="noConversion"/>
  <conditionalFormatting sqref="C51">
    <cfRule type="cellIs" dxfId="50" priority="2" stopIfTrue="1" operator="greaterThan">
      <formula>$C$53*0.1</formula>
    </cfRule>
  </conditionalFormatting>
  <conditionalFormatting sqref="D51">
    <cfRule type="cellIs" dxfId="49" priority="3" stopIfTrue="1" operator="greaterThan">
      <formula>$D$53*0.1</formula>
    </cfRule>
  </conditionalFormatting>
  <conditionalFormatting sqref="E51">
    <cfRule type="cellIs" dxfId="48" priority="4" stopIfTrue="1" operator="greaterThan">
      <formula>$E$53*0.1</formula>
    </cfRule>
  </conditionalFormatting>
  <conditionalFormatting sqref="E56">
    <cfRule type="cellIs" dxfId="47" priority="5" stopIfTrue="1" operator="greaterThan">
      <formula>$E$53/0.95-$E$53</formula>
    </cfRule>
  </conditionalFormatting>
  <conditionalFormatting sqref="C27">
    <cfRule type="cellIs" dxfId="46" priority="6" stopIfTrue="1" operator="greaterThan">
      <formula>$C$29*0.1</formula>
    </cfRule>
  </conditionalFormatting>
  <conditionalFormatting sqref="D27">
    <cfRule type="cellIs" dxfId="45" priority="7" stopIfTrue="1" operator="greaterThan">
      <formula>$D$29*0.1</formula>
    </cfRule>
  </conditionalFormatting>
  <conditionalFormatting sqref="C54">
    <cfRule type="cellIs" dxfId="44" priority="8" stopIfTrue="1" operator="lessThan">
      <formula>0</formula>
    </cfRule>
  </conditionalFormatting>
  <conditionalFormatting sqref="E27">
    <cfRule type="cellIs" dxfId="43" priority="11" stopIfTrue="1" operator="greaterThan">
      <formula>$E$29*0.1+$E$60</formula>
    </cfRule>
  </conditionalFormatting>
  <conditionalFormatting sqref="D54">
    <cfRule type="cellIs" dxfId="42" priority="1" stopIfTrue="1" operator="lessThan">
      <formula>0</formula>
    </cfRule>
  </conditionalFormatting>
  <conditionalFormatting sqref="D53">
    <cfRule type="cellIs" dxfId="41" priority="20" stopIfTrue="1" operator="greaterThan">
      <formula>$D$55</formula>
    </cfRule>
  </conditionalFormatting>
  <conditionalFormatting sqref="C53">
    <cfRule type="cellIs" dxfId="40" priority="28" stopIfTrue="1" operator="greaterThan">
      <formula>$C$55</formula>
    </cfRule>
  </conditionalFormatting>
  <pageMargins left="0.75" right="0.75" top="1" bottom="1" header="0.5" footer="0.5"/>
  <pageSetup scale="72" orientation="portrait" blackAndWhite="1" r:id="rId1"/>
  <headerFooter alignWithMargins="0">
    <oddHeader>&amp;RState of Kansas
Special District</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K91"/>
  <sheetViews>
    <sheetView workbookViewId="0">
      <selection activeCell="L6" sqref="L6"/>
    </sheetView>
  </sheetViews>
  <sheetFormatPr defaultRowHeight="15.75"/>
  <cols>
    <col min="1" max="1" width="2.44140625" style="95" customWidth="1"/>
    <col min="2" max="2" width="31.109375" style="95" customWidth="1"/>
    <col min="3" max="5" width="15.77734375" style="95" customWidth="1"/>
    <col min="6" max="6" width="7.44140625" style="95" customWidth="1"/>
    <col min="7" max="7" width="10.21875" style="95" customWidth="1"/>
    <col min="8" max="8" width="8.88671875" style="95"/>
    <col min="9" max="9" width="5" style="95" customWidth="1"/>
    <col min="10" max="10" width="10" style="95" customWidth="1"/>
    <col min="11" max="16384" width="8.88671875" style="95"/>
  </cols>
  <sheetData>
    <row r="1" spans="2:6">
      <c r="B1" s="18" t="str">
        <f ca="1">inputPrYr!D3</f>
        <v>Crowm Hill Cemetery</v>
      </c>
      <c r="C1" s="18"/>
      <c r="D1" s="18"/>
      <c r="E1" s="182"/>
    </row>
    <row r="2" spans="2:6">
      <c r="B2" s="18" t="str">
        <f ca="1">inputPrYr!D4</f>
        <v xml:space="preserve">Comanche County </v>
      </c>
      <c r="C2" s="18"/>
      <c r="D2" s="18"/>
      <c r="E2" s="138"/>
    </row>
    <row r="3" spans="2:6">
      <c r="B3" s="25" t="s">
        <v>449</v>
      </c>
      <c r="C3" s="222"/>
      <c r="D3" s="222"/>
      <c r="E3" s="18">
        <f ca="1">inputPrYr!D6</f>
        <v>2014</v>
      </c>
      <c r="F3" s="567"/>
    </row>
    <row r="4" spans="2:6">
      <c r="B4" s="18"/>
      <c r="C4" s="106"/>
      <c r="D4" s="106"/>
      <c r="E4" s="106"/>
    </row>
    <row r="5" spans="2:6">
      <c r="B5" s="17" t="s">
        <v>400</v>
      </c>
      <c r="C5" s="370" t="s">
        <v>614</v>
      </c>
      <c r="D5" s="371" t="s">
        <v>613</v>
      </c>
      <c r="E5" s="223" t="s">
        <v>612</v>
      </c>
    </row>
    <row r="6" spans="2:6">
      <c r="B6" s="388">
        <f ca="1">inputPrYr!B22</f>
        <v>0</v>
      </c>
      <c r="C6" s="372" t="str">
        <f>CONCATENATE("Actual for ",$E$3-2,"")</f>
        <v>Actual for 2012</v>
      </c>
      <c r="D6" s="372" t="str">
        <f>CONCATENATE("Estimate for ",E3-1,"")</f>
        <v>Estimate for 2013</v>
      </c>
      <c r="E6" s="224" t="str">
        <f>CONCATENATE("Year for ",E3,"")</f>
        <v>Year for 2014</v>
      </c>
    </row>
    <row r="7" spans="2:6">
      <c r="B7" s="119" t="s">
        <v>493</v>
      </c>
      <c r="C7" s="366"/>
      <c r="D7" s="373">
        <f>C34</f>
        <v>0</v>
      </c>
      <c r="E7" s="45">
        <f>D34</f>
        <v>0</v>
      </c>
    </row>
    <row r="8" spans="2:6">
      <c r="B8" s="226" t="s">
        <v>495</v>
      </c>
      <c r="C8" s="227"/>
      <c r="D8" s="227"/>
      <c r="E8" s="123"/>
    </row>
    <row r="9" spans="2:6">
      <c r="B9" s="119" t="s">
        <v>401</v>
      </c>
      <c r="C9" s="366"/>
      <c r="D9" s="373">
        <f ca="1">IF(inputPrYr!H18&gt;0,inputPrYr!G22,inputPrYr!E22)</f>
        <v>0</v>
      </c>
      <c r="E9" s="128" t="s">
        <v>396</v>
      </c>
    </row>
    <row r="10" spans="2:6">
      <c r="B10" s="119" t="s">
        <v>402</v>
      </c>
      <c r="C10" s="366"/>
      <c r="D10" s="366"/>
      <c r="E10" s="198"/>
    </row>
    <row r="11" spans="2:6">
      <c r="B11" s="119" t="s">
        <v>403</v>
      </c>
      <c r="C11" s="366"/>
      <c r="D11" s="366"/>
      <c r="E11" s="45">
        <f ca="1">mvalloc!D13</f>
        <v>0</v>
      </c>
    </row>
    <row r="12" spans="2:6">
      <c r="B12" s="119" t="s">
        <v>404</v>
      </c>
      <c r="C12" s="366"/>
      <c r="D12" s="366"/>
      <c r="E12" s="45">
        <f ca="1">mvalloc!E13</f>
        <v>0</v>
      </c>
    </row>
    <row r="13" spans="2:6">
      <c r="B13" s="227" t="s">
        <v>477</v>
      </c>
      <c r="C13" s="366"/>
      <c r="D13" s="366"/>
      <c r="E13" s="45">
        <f ca="1">mvalloc!F13</f>
        <v>0</v>
      </c>
    </row>
    <row r="14" spans="2:6">
      <c r="B14" s="228"/>
      <c r="C14" s="366"/>
      <c r="D14" s="366"/>
      <c r="E14" s="198"/>
    </row>
    <row r="15" spans="2:6">
      <c r="B15" s="228"/>
      <c r="C15" s="366"/>
      <c r="D15" s="366"/>
      <c r="E15" s="198"/>
    </row>
    <row r="16" spans="2:6">
      <c r="B16" s="228"/>
      <c r="C16" s="366"/>
      <c r="D16" s="366"/>
      <c r="E16" s="198"/>
    </row>
    <row r="17" spans="2:11">
      <c r="B17" s="228"/>
      <c r="C17" s="366"/>
      <c r="D17" s="366"/>
      <c r="E17" s="198"/>
    </row>
    <row r="18" spans="2:11">
      <c r="B18" s="229" t="s">
        <v>406</v>
      </c>
      <c r="C18" s="366"/>
      <c r="D18" s="366"/>
      <c r="E18" s="198"/>
    </row>
    <row r="19" spans="2:11">
      <c r="B19" s="230" t="s">
        <v>586</v>
      </c>
      <c r="C19" s="366"/>
      <c r="D19" s="366"/>
      <c r="E19" s="35"/>
    </row>
    <row r="20" spans="2:11">
      <c r="B20" s="230" t="s">
        <v>104</v>
      </c>
      <c r="C20" s="367" t="str">
        <f>IF(C21*0.1&lt;C19,"Exceed 10% Rule","")</f>
        <v/>
      </c>
      <c r="D20" s="367" t="str">
        <f>IF(D21*0.1&lt;D19,"Exceed 10% Rule","")</f>
        <v/>
      </c>
      <c r="E20" s="386" t="str">
        <f>IF(E21*0.1+E40&lt;E19,"Exceed 10% Rule","")</f>
        <v/>
      </c>
    </row>
    <row r="21" spans="2:11">
      <c r="B21" s="233" t="s">
        <v>407</v>
      </c>
      <c r="C21" s="368">
        <f>SUM(C9:C19)</f>
        <v>0</v>
      </c>
      <c r="D21" s="368">
        <f>SUM(D9:D19)</f>
        <v>0</v>
      </c>
      <c r="E21" s="234">
        <f>SUM(E9:E19)</f>
        <v>0</v>
      </c>
    </row>
    <row r="22" spans="2:11">
      <c r="B22" s="233" t="s">
        <v>408</v>
      </c>
      <c r="C22" s="368">
        <f>C7+C21</f>
        <v>0</v>
      </c>
      <c r="D22" s="368">
        <f>D7+D21</f>
        <v>0</v>
      </c>
      <c r="E22" s="234">
        <f>E7+E21</f>
        <v>0</v>
      </c>
    </row>
    <row r="23" spans="2:11">
      <c r="B23" s="119" t="s">
        <v>409</v>
      </c>
      <c r="C23" s="121"/>
      <c r="D23" s="121"/>
      <c r="E23" s="36"/>
    </row>
    <row r="24" spans="2:11">
      <c r="B24" s="228"/>
      <c r="C24" s="366"/>
      <c r="D24" s="366"/>
      <c r="E24" s="198"/>
    </row>
    <row r="25" spans="2:11">
      <c r="B25" s="228"/>
      <c r="C25" s="366"/>
      <c r="D25" s="366"/>
      <c r="E25" s="198"/>
      <c r="F25" s="16"/>
      <c r="G25" s="680" t="str">
        <f>CONCATENATE("Desired Carryover Into ",E3+1,"")</f>
        <v>Desired Carryover Into 2015</v>
      </c>
      <c r="H25" s="681"/>
      <c r="I25" s="681"/>
      <c r="J25" s="682"/>
      <c r="K25" s="16"/>
    </row>
    <row r="26" spans="2:11">
      <c r="B26" s="228"/>
      <c r="C26" s="366"/>
      <c r="D26" s="366"/>
      <c r="E26" s="198"/>
      <c r="F26" s="16"/>
      <c r="G26" s="475"/>
      <c r="H26" s="69"/>
      <c r="I26" s="482"/>
      <c r="J26" s="474"/>
      <c r="K26" s="16"/>
    </row>
    <row r="27" spans="2:11">
      <c r="B27" s="228"/>
      <c r="C27" s="366"/>
      <c r="D27" s="366"/>
      <c r="E27" s="198"/>
      <c r="F27" s="16"/>
      <c r="G27" s="473" t="s">
        <v>206</v>
      </c>
      <c r="H27" s="482"/>
      <c r="I27" s="482"/>
      <c r="J27" s="472">
        <v>0</v>
      </c>
      <c r="K27" s="16"/>
    </row>
    <row r="28" spans="2:11">
      <c r="B28" s="228"/>
      <c r="C28" s="366"/>
      <c r="D28" s="366"/>
      <c r="E28" s="198"/>
      <c r="F28" s="16"/>
      <c r="G28" s="475" t="s">
        <v>207</v>
      </c>
      <c r="H28" s="69"/>
      <c r="I28" s="69"/>
      <c r="J28" s="598" t="str">
        <f ca="1">IF(J27=0,"",ROUND((J27+E40-G40)/inputOth!E7*1000,3)-G45)</f>
        <v/>
      </c>
      <c r="K28" s="16"/>
    </row>
    <row r="29" spans="2:11">
      <c r="B29" s="228"/>
      <c r="C29" s="366"/>
      <c r="D29" s="366"/>
      <c r="E29" s="198"/>
      <c r="F29" s="16"/>
      <c r="G29" s="579" t="str">
        <f>CONCATENATE("",E3," Tot Exp/Non-Appr Must Be:")</f>
        <v>2014 Tot Exp/Non-Appr Must Be:</v>
      </c>
      <c r="H29" s="569"/>
      <c r="I29" s="568"/>
      <c r="J29" s="580">
        <f>IF(J27&gt;0,IF(E37&lt;E22,IF(J27=G40,E37,((J27-G40)*(1-D39))+E22),E37+(J27-G40)),0)</f>
        <v>0</v>
      </c>
      <c r="K29" s="16"/>
    </row>
    <row r="30" spans="2:11">
      <c r="B30" s="121" t="s">
        <v>587</v>
      </c>
      <c r="C30" s="366"/>
      <c r="D30" s="366"/>
      <c r="E30" s="203" t="str">
        <f ca="1">Nhood!E9</f>
        <v/>
      </c>
      <c r="F30" s="16"/>
      <c r="G30" s="581" t="s">
        <v>273</v>
      </c>
      <c r="H30" s="582"/>
      <c r="I30" s="582"/>
      <c r="J30" s="583">
        <f>IF(J27&gt;0,J29-E37,0)</f>
        <v>0</v>
      </c>
      <c r="K30" s="16"/>
    </row>
    <row r="31" spans="2:11">
      <c r="B31" s="121" t="s">
        <v>586</v>
      </c>
      <c r="C31" s="228"/>
      <c r="D31" s="228"/>
      <c r="E31" s="198"/>
      <c r="F31" s="16"/>
      <c r="G31" s="16"/>
      <c r="H31" s="16"/>
      <c r="I31" s="16"/>
      <c r="J31" s="597"/>
      <c r="K31" s="16"/>
    </row>
    <row r="32" spans="2:11">
      <c r="B32" s="121" t="s">
        <v>103</v>
      </c>
      <c r="C32" s="367" t="str">
        <f>IF(C33*0.1&lt;C31,"Exceed 10% Rule","")</f>
        <v/>
      </c>
      <c r="D32" s="367" t="str">
        <f>IF(D33*0.1&lt;D31,"Exceed 10% Rule","")</f>
        <v/>
      </c>
      <c r="E32" s="386" t="str">
        <f>IF(E33*0.1&lt;E31,"Exceed 10% Rule","")</f>
        <v/>
      </c>
      <c r="F32" s="16"/>
      <c r="G32" s="680" t="str">
        <f>CONCATENATE("Projected Carryover Into ",E3+1,"")</f>
        <v>Projected Carryover Into 2015</v>
      </c>
      <c r="H32" s="692"/>
      <c r="I32" s="692"/>
      <c r="J32" s="693"/>
      <c r="K32" s="16"/>
    </row>
    <row r="33" spans="2:11">
      <c r="B33" s="233" t="s">
        <v>410</v>
      </c>
      <c r="C33" s="368">
        <f>SUM(C24:C31)</f>
        <v>0</v>
      </c>
      <c r="D33" s="368">
        <f>SUM(D24:D31)</f>
        <v>0</v>
      </c>
      <c r="E33" s="234">
        <f>SUM(E24:E31)</f>
        <v>0</v>
      </c>
      <c r="F33" s="16"/>
      <c r="G33" s="475"/>
      <c r="H33" s="482"/>
      <c r="I33" s="482"/>
      <c r="J33" s="602"/>
      <c r="K33" s="16"/>
    </row>
    <row r="34" spans="2:11">
      <c r="B34" s="119" t="s">
        <v>494</v>
      </c>
      <c r="C34" s="369">
        <f>C22-C33</f>
        <v>0</v>
      </c>
      <c r="D34" s="369">
        <f>D22-D33</f>
        <v>0</v>
      </c>
      <c r="E34" s="128" t="s">
        <v>396</v>
      </c>
      <c r="F34" s="16"/>
      <c r="G34" s="489">
        <f>D34</f>
        <v>0</v>
      </c>
      <c r="H34" s="488" t="str">
        <f>CONCATENATE("",E3-1," Ending Cash Balance (est.)")</f>
        <v>2013 Ending Cash Balance (est.)</v>
      </c>
      <c r="I34" s="584"/>
      <c r="J34" s="602"/>
      <c r="K34" s="16"/>
    </row>
    <row r="35" spans="2:11">
      <c r="B35" s="138" t="str">
        <f>CONCATENATE("",E3-2,"/",E3-1," Budget Authority Amount:")</f>
        <v>2012/2013 Budget Authority Amount:</v>
      </c>
      <c r="C35" s="120">
        <f ca="1">inputOth!B43</f>
        <v>0</v>
      </c>
      <c r="D35" s="387">
        <f ca="1">inputPrYr!D22</f>
        <v>0</v>
      </c>
      <c r="E35" s="128" t="s">
        <v>396</v>
      </c>
      <c r="F35" s="16"/>
      <c r="G35" s="489">
        <f>E21</f>
        <v>0</v>
      </c>
      <c r="H35" s="482" t="str">
        <f>CONCATENATE("",E3," Non-AV Receipts (est.)")</f>
        <v>2014 Non-AV Receipts (est.)</v>
      </c>
      <c r="I35" s="584"/>
      <c r="J35" s="602"/>
      <c r="K35" s="16"/>
    </row>
    <row r="36" spans="2:11">
      <c r="B36" s="138"/>
      <c r="C36" s="688" t="s">
        <v>200</v>
      </c>
      <c r="D36" s="689"/>
      <c r="E36" s="35"/>
      <c r="F36" s="610" t="str">
        <f>IF(E33/0.95-E33&lt;E36,"Exceeds 5%","")</f>
        <v/>
      </c>
      <c r="G36" s="481">
        <f>IF(E39&gt;0,E38,E40)</f>
        <v>0</v>
      </c>
      <c r="H36" s="482" t="str">
        <f>CONCATENATE("",E3," Ad Valorem Tax (est.)")</f>
        <v>2014 Ad Valorem Tax (est.)</v>
      </c>
      <c r="I36" s="584"/>
      <c r="J36" s="603"/>
      <c r="K36" s="585" t="str">
        <f>IF(G36=E40,"","Note: Does not include Delinquent Taxes")</f>
        <v/>
      </c>
    </row>
    <row r="37" spans="2:11">
      <c r="B37" s="385" t="str">
        <f>CONCATENATE(C87,"     ",D87)</f>
        <v xml:space="preserve">     </v>
      </c>
      <c r="C37" s="690" t="s">
        <v>201</v>
      </c>
      <c r="D37" s="691"/>
      <c r="E37" s="45">
        <f>E33+E36</f>
        <v>0</v>
      </c>
      <c r="G37" s="489">
        <f>SUM(G34:G36)</f>
        <v>0</v>
      </c>
      <c r="H37" s="482" t="str">
        <f>CONCATENATE("Total ",E3," Resources Available")</f>
        <v>Total 2014 Resources Available</v>
      </c>
      <c r="I37" s="584"/>
      <c r="J37" s="602"/>
      <c r="K37" s="16"/>
    </row>
    <row r="38" spans="2:11">
      <c r="B38" s="385" t="str">
        <f>CONCATENATE(C88,"     ",D88)</f>
        <v xml:space="preserve">     </v>
      </c>
      <c r="C38" s="493"/>
      <c r="D38" s="492" t="s">
        <v>202</v>
      </c>
      <c r="E38" s="42">
        <f>IF(E37-E22&gt;0,E37-E22,0)</f>
        <v>0</v>
      </c>
      <c r="F38" s="16"/>
      <c r="G38" s="480"/>
      <c r="H38" s="482"/>
      <c r="I38" s="482"/>
      <c r="J38" s="602"/>
      <c r="K38" s="16"/>
    </row>
    <row r="39" spans="2:11">
      <c r="B39" s="155"/>
      <c r="C39" s="491" t="s">
        <v>203</v>
      </c>
      <c r="D39" s="596">
        <f ca="1">inputOth!$E$35</f>
        <v>0</v>
      </c>
      <c r="E39" s="45">
        <f>ROUND(IF(D39&gt;0,(E38*D39),0),0)</f>
        <v>0</v>
      </c>
      <c r="F39" s="16"/>
      <c r="G39" s="481">
        <f>ROUND(C33*0.05+C33,0)</f>
        <v>0</v>
      </c>
      <c r="H39" s="482" t="str">
        <f>CONCATENATE("Less ",E3-2," Expenditures + 5%")</f>
        <v>Less 2012 Expenditures + 5%</v>
      </c>
      <c r="I39" s="584"/>
      <c r="J39" s="602"/>
      <c r="K39" s="16"/>
    </row>
    <row r="40" spans="2:11">
      <c r="B40" s="18"/>
      <c r="C40" s="686" t="str">
        <f>CONCATENATE("Amount of  ",$E$3-1," Ad Valorem Tax")</f>
        <v>Amount of  2013 Ad Valorem Tax</v>
      </c>
      <c r="D40" s="687"/>
      <c r="E40" s="42">
        <f>E38+E39</f>
        <v>0</v>
      </c>
      <c r="F40" s="16"/>
      <c r="G40" s="517">
        <f>G37-G39</f>
        <v>0</v>
      </c>
      <c r="H40" s="470" t="str">
        <f>CONCATENATE("Projected ",E3+1," carryover (est.)")</f>
        <v>Projected 2015 carryover (est.)</v>
      </c>
      <c r="I40" s="587"/>
      <c r="J40" s="604"/>
      <c r="K40" s="16"/>
    </row>
    <row r="41" spans="2:11">
      <c r="B41" s="18"/>
      <c r="C41" s="18"/>
      <c r="D41" s="18"/>
      <c r="E41" s="18"/>
      <c r="F41" s="16"/>
      <c r="G41" s="597"/>
      <c r="H41" s="597"/>
      <c r="I41" s="597"/>
      <c r="J41" s="597"/>
      <c r="K41" s="16"/>
    </row>
    <row r="42" spans="2:11">
      <c r="B42" s="17" t="s">
        <v>400</v>
      </c>
      <c r="C42" s="106"/>
      <c r="D42" s="106"/>
      <c r="E42" s="106"/>
      <c r="F42" s="16"/>
      <c r="G42" s="683" t="s">
        <v>274</v>
      </c>
      <c r="H42" s="684"/>
      <c r="I42" s="684"/>
      <c r="J42" s="685"/>
      <c r="K42" s="16"/>
    </row>
    <row r="43" spans="2:11" ht="15.75" customHeight="1">
      <c r="B43" s="18"/>
      <c r="C43" s="370" t="s">
        <v>614</v>
      </c>
      <c r="D43" s="371" t="s">
        <v>615</v>
      </c>
      <c r="E43" s="223" t="s">
        <v>612</v>
      </c>
      <c r="F43" s="16"/>
      <c r="G43" s="588"/>
      <c r="H43" s="488"/>
      <c r="I43" s="570"/>
      <c r="J43" s="589"/>
      <c r="K43" s="16"/>
    </row>
    <row r="44" spans="2:11" ht="15.75" customHeight="1">
      <c r="B44" s="388">
        <f ca="1">inputPrYr!B23</f>
        <v>0</v>
      </c>
      <c r="C44" s="372" t="str">
        <f>C6</f>
        <v>Actual for 2012</v>
      </c>
      <c r="D44" s="372" t="str">
        <f>D6</f>
        <v>Estimate for 2013</v>
      </c>
      <c r="E44" s="224" t="str">
        <f>E6</f>
        <v>Year for 2014</v>
      </c>
      <c r="F44" s="16"/>
      <c r="G44" s="590" t="str">
        <f ca="1">summ!H18</f>
        <v xml:space="preserve"> </v>
      </c>
      <c r="H44" s="488" t="str">
        <f>CONCATENATE("",E3," Fund Mill Rate")</f>
        <v>2014 Fund Mill Rate</v>
      </c>
      <c r="I44" s="570"/>
      <c r="J44" s="589"/>
      <c r="K44" s="16"/>
    </row>
    <row r="45" spans="2:11">
      <c r="B45" s="119" t="s">
        <v>493</v>
      </c>
      <c r="C45" s="366"/>
      <c r="D45" s="373">
        <f>C72</f>
        <v>0</v>
      </c>
      <c r="E45" s="45">
        <f>D72</f>
        <v>0</v>
      </c>
      <c r="F45" s="16"/>
      <c r="G45" s="592" t="str">
        <f ca="1">summ!E18</f>
        <v xml:space="preserve">  </v>
      </c>
      <c r="H45" s="488" t="str">
        <f>CONCATENATE("",E3-1," Fund Mill Rate")</f>
        <v>2013 Fund Mill Rate</v>
      </c>
      <c r="I45" s="570"/>
      <c r="J45" s="589"/>
      <c r="K45" s="16"/>
    </row>
    <row r="46" spans="2:11">
      <c r="B46" s="226" t="s">
        <v>495</v>
      </c>
      <c r="C46" s="227"/>
      <c r="D46" s="227"/>
      <c r="E46" s="123"/>
      <c r="F46" s="16"/>
      <c r="G46" s="593">
        <f ca="1">summ!H23</f>
        <v>0.82899999999999996</v>
      </c>
      <c r="H46" s="488" t="str">
        <f>CONCATENATE("Total ",E3," Mill Rate")</f>
        <v>Total 2014 Mill Rate</v>
      </c>
      <c r="I46" s="570"/>
      <c r="J46" s="589"/>
      <c r="K46" s="16"/>
    </row>
    <row r="47" spans="2:11">
      <c r="B47" s="119" t="s">
        <v>401</v>
      </c>
      <c r="C47" s="366"/>
      <c r="D47" s="373">
        <f ca="1">IF(inputPrYr!H18&gt;0,inputPrYr!G23,inputPrYr!E23)</f>
        <v>0</v>
      </c>
      <c r="E47" s="128" t="s">
        <v>396</v>
      </c>
      <c r="F47" s="16"/>
      <c r="G47" s="592">
        <f ca="1">summ!E23</f>
        <v>1.204</v>
      </c>
      <c r="H47" s="594" t="str">
        <f>CONCATENATE("Total ",E3-1," Mill Rate")</f>
        <v>Total 2013 Mill Rate</v>
      </c>
      <c r="I47" s="595"/>
      <c r="J47" s="78"/>
      <c r="K47" s="16"/>
    </row>
    <row r="48" spans="2:11">
      <c r="B48" s="119" t="s">
        <v>402</v>
      </c>
      <c r="C48" s="366"/>
      <c r="D48" s="366"/>
      <c r="E48" s="198"/>
      <c r="F48" s="16"/>
      <c r="G48" s="16"/>
      <c r="H48" s="16"/>
      <c r="I48" s="16"/>
      <c r="J48" s="16"/>
      <c r="K48" s="16"/>
    </row>
    <row r="49" spans="2:11">
      <c r="B49" s="119" t="s">
        <v>403</v>
      </c>
      <c r="C49" s="366"/>
      <c r="D49" s="366"/>
      <c r="E49" s="45">
        <f ca="1">mvalloc!D14</f>
        <v>0</v>
      </c>
      <c r="F49" s="16"/>
      <c r="G49" s="631" t="s">
        <v>72</v>
      </c>
      <c r="H49" s="630"/>
      <c r="I49" s="629" t="str">
        <f ca="1">cert!F31</f>
        <v>Yes</v>
      </c>
      <c r="J49" s="16"/>
      <c r="K49" s="16"/>
    </row>
    <row r="50" spans="2:11">
      <c r="B50" s="119" t="s">
        <v>404</v>
      </c>
      <c r="C50" s="366"/>
      <c r="D50" s="366"/>
      <c r="E50" s="45">
        <f ca="1">mvalloc!E14</f>
        <v>0</v>
      </c>
      <c r="F50" s="16"/>
      <c r="G50" s="16"/>
      <c r="H50" s="16"/>
      <c r="I50" s="16"/>
      <c r="J50" s="16"/>
      <c r="K50" s="16"/>
    </row>
    <row r="51" spans="2:11">
      <c r="B51" s="227" t="s">
        <v>477</v>
      </c>
      <c r="C51" s="366"/>
      <c r="D51" s="366"/>
      <c r="E51" s="45">
        <f ca="1">mvalloc!F14</f>
        <v>0</v>
      </c>
      <c r="F51" s="16"/>
      <c r="G51" s="16"/>
      <c r="H51" s="16"/>
      <c r="I51" s="16"/>
      <c r="J51" s="16"/>
      <c r="K51" s="16"/>
    </row>
    <row r="52" spans="2:11">
      <c r="B52" s="228"/>
      <c r="C52" s="366"/>
      <c r="D52" s="366"/>
      <c r="E52" s="198"/>
      <c r="F52" s="16"/>
      <c r="G52" s="16"/>
      <c r="H52" s="16"/>
      <c r="I52" s="16"/>
      <c r="J52" s="16"/>
      <c r="K52" s="16"/>
    </row>
    <row r="53" spans="2:11">
      <c r="B53" s="228"/>
      <c r="C53" s="366"/>
      <c r="D53" s="366"/>
      <c r="E53" s="198"/>
      <c r="F53" s="16"/>
      <c r="G53" s="16"/>
      <c r="H53" s="16"/>
      <c r="I53" s="16"/>
      <c r="J53" s="16"/>
      <c r="K53" s="16"/>
    </row>
    <row r="54" spans="2:11">
      <c r="B54" s="228"/>
      <c r="C54" s="366"/>
      <c r="D54" s="366"/>
      <c r="E54" s="198"/>
      <c r="F54" s="16"/>
      <c r="G54" s="16"/>
      <c r="H54" s="16"/>
      <c r="I54" s="16"/>
      <c r="J54" s="16"/>
      <c r="K54" s="16"/>
    </row>
    <row r="55" spans="2:11">
      <c r="B55" s="228"/>
      <c r="C55" s="366"/>
      <c r="D55" s="366"/>
      <c r="E55" s="198"/>
      <c r="F55" s="16"/>
      <c r="G55" s="16"/>
      <c r="H55" s="16"/>
      <c r="I55" s="16"/>
      <c r="J55" s="16"/>
      <c r="K55" s="16"/>
    </row>
    <row r="56" spans="2:11">
      <c r="B56" s="229" t="s">
        <v>406</v>
      </c>
      <c r="C56" s="366"/>
      <c r="D56" s="366"/>
      <c r="E56" s="198"/>
      <c r="F56" s="16"/>
      <c r="G56" s="16"/>
      <c r="H56" s="16"/>
      <c r="I56" s="16"/>
      <c r="J56" s="16"/>
      <c r="K56" s="16"/>
    </row>
    <row r="57" spans="2:11">
      <c r="B57" s="230" t="s">
        <v>586</v>
      </c>
      <c r="C57" s="228"/>
      <c r="D57" s="228"/>
      <c r="E57" s="198"/>
      <c r="F57" s="16"/>
      <c r="G57" s="16"/>
      <c r="H57" s="16"/>
      <c r="I57" s="16"/>
      <c r="J57" s="16"/>
      <c r="K57" s="16"/>
    </row>
    <row r="58" spans="2:11">
      <c r="B58" s="230" t="s">
        <v>104</v>
      </c>
      <c r="C58" s="367" t="str">
        <f>IF(C59*0.1&lt;C57,"Exceed 10% Rule","")</f>
        <v/>
      </c>
      <c r="D58" s="367" t="str">
        <f>IF(D59*0.1&lt;D57,"Exceed 10% Rule","")</f>
        <v/>
      </c>
      <c r="E58" s="386" t="str">
        <f>IF(E59*0.1+E78&lt;E57,"Exceed 10% Rule","")</f>
        <v/>
      </c>
      <c r="F58" s="16"/>
      <c r="G58" s="16"/>
      <c r="H58" s="16"/>
      <c r="I58" s="16"/>
      <c r="J58" s="16"/>
      <c r="K58" s="16"/>
    </row>
    <row r="59" spans="2:11">
      <c r="B59" s="233" t="s">
        <v>407</v>
      </c>
      <c r="C59" s="368">
        <f>SUM(C47:C57)</f>
        <v>0</v>
      </c>
      <c r="D59" s="368">
        <f>SUM(D47:D57)</f>
        <v>0</v>
      </c>
      <c r="E59" s="234">
        <f>SUM(E47:E57)</f>
        <v>0</v>
      </c>
      <c r="F59" s="16"/>
      <c r="G59" s="16"/>
      <c r="H59" s="16"/>
      <c r="I59" s="16"/>
      <c r="J59" s="16"/>
      <c r="K59" s="16"/>
    </row>
    <row r="60" spans="2:11">
      <c r="B60" s="233" t="s">
        <v>408</v>
      </c>
      <c r="C60" s="368">
        <f>C45+C59</f>
        <v>0</v>
      </c>
      <c r="D60" s="368">
        <f>D45+D59</f>
        <v>0</v>
      </c>
      <c r="E60" s="234">
        <f>E45+E59</f>
        <v>0</v>
      </c>
      <c r="F60" s="16"/>
      <c r="G60" s="16"/>
      <c r="H60" s="16"/>
      <c r="I60" s="16"/>
      <c r="J60" s="16"/>
      <c r="K60" s="16"/>
    </row>
    <row r="61" spans="2:11">
      <c r="B61" s="119" t="s">
        <v>409</v>
      </c>
      <c r="C61" s="121"/>
      <c r="D61" s="121"/>
      <c r="E61" s="36"/>
      <c r="F61" s="16"/>
      <c r="G61" s="16"/>
      <c r="H61" s="16"/>
      <c r="I61" s="16"/>
      <c r="J61" s="16"/>
      <c r="K61" s="16"/>
    </row>
    <row r="62" spans="2:11">
      <c r="B62" s="228"/>
      <c r="C62" s="366"/>
      <c r="D62" s="366"/>
      <c r="E62" s="198"/>
      <c r="F62" s="16"/>
      <c r="G62" s="16"/>
      <c r="H62" s="16"/>
      <c r="I62" s="16"/>
      <c r="J62" s="16"/>
      <c r="K62" s="16"/>
    </row>
    <row r="63" spans="2:11">
      <c r="B63" s="228"/>
      <c r="C63" s="366"/>
      <c r="D63" s="366"/>
      <c r="E63" s="198"/>
      <c r="F63" s="16"/>
      <c r="G63" s="16"/>
      <c r="H63" s="16"/>
      <c r="I63" s="16"/>
      <c r="J63" s="16"/>
      <c r="K63" s="16"/>
    </row>
    <row r="64" spans="2:11">
      <c r="B64" s="228"/>
      <c r="C64" s="366"/>
      <c r="D64" s="366"/>
      <c r="E64" s="198"/>
      <c r="F64" s="16"/>
      <c r="G64" s="16"/>
      <c r="H64" s="16"/>
      <c r="I64" s="16"/>
      <c r="J64" s="16"/>
      <c r="K64" s="16"/>
    </row>
    <row r="65" spans="2:11">
      <c r="B65" s="228"/>
      <c r="C65" s="366"/>
      <c r="D65" s="366"/>
      <c r="E65" s="198"/>
      <c r="F65" s="16"/>
      <c r="G65" s="680" t="str">
        <f>CONCATENATE("Desired Carryover Into ",E3+1,"")</f>
        <v>Desired Carryover Into 2015</v>
      </c>
      <c r="H65" s="681"/>
      <c r="I65" s="681"/>
      <c r="J65" s="682"/>
      <c r="K65" s="16"/>
    </row>
    <row r="66" spans="2:11">
      <c r="B66" s="228"/>
      <c r="C66" s="366"/>
      <c r="D66" s="366"/>
      <c r="E66" s="198"/>
      <c r="F66" s="16"/>
      <c r="G66" s="475"/>
      <c r="H66" s="69"/>
      <c r="I66" s="482"/>
      <c r="J66" s="474"/>
      <c r="K66" s="16"/>
    </row>
    <row r="67" spans="2:11">
      <c r="B67" s="228"/>
      <c r="C67" s="366"/>
      <c r="D67" s="366"/>
      <c r="E67" s="198"/>
      <c r="F67" s="16"/>
      <c r="G67" s="473" t="s">
        <v>206</v>
      </c>
      <c r="H67" s="482"/>
      <c r="I67" s="482"/>
      <c r="J67" s="472">
        <v>0</v>
      </c>
      <c r="K67" s="16"/>
    </row>
    <row r="68" spans="2:11">
      <c r="B68" s="121" t="s">
        <v>587</v>
      </c>
      <c r="C68" s="366"/>
      <c r="D68" s="366"/>
      <c r="E68" s="203" t="str">
        <f ca="1">Nhood!E10</f>
        <v/>
      </c>
      <c r="F68" s="16"/>
      <c r="G68" s="475" t="s">
        <v>207</v>
      </c>
      <c r="H68" s="69"/>
      <c r="I68" s="69"/>
      <c r="J68" s="598" t="str">
        <f ca="1">IF(J67=0,"",ROUND((J67+E81-G80)/inputOth!E7*1000,3)-G85)</f>
        <v/>
      </c>
      <c r="K68" s="16"/>
    </row>
    <row r="69" spans="2:11">
      <c r="B69" s="121" t="s">
        <v>586</v>
      </c>
      <c r="C69" s="228"/>
      <c r="D69" s="228"/>
      <c r="E69" s="198"/>
      <c r="F69" s="16"/>
      <c r="G69" s="579" t="str">
        <f>CONCATENATE("",E3," Tot Exp/Non-Appr Must Be:")</f>
        <v>2014 Tot Exp/Non-Appr Must Be:</v>
      </c>
      <c r="H69" s="569"/>
      <c r="I69" s="568"/>
      <c r="J69" s="580">
        <f>IF(J67&gt;0,IF(E75&lt;E60,IF(J67=G80,E75,((J67-G80)*(1-D77))+E60),E75+(J67-G80)),0)</f>
        <v>0</v>
      </c>
      <c r="K69" s="16"/>
    </row>
    <row r="70" spans="2:11">
      <c r="B70" s="121" t="s">
        <v>103</v>
      </c>
      <c r="C70" s="367" t="str">
        <f>IF(C71*0.1&lt;C69,"Exceed 10% Rule","")</f>
        <v/>
      </c>
      <c r="D70" s="367" t="str">
        <f>IF(D71*0.1&lt;D69,"Exceed 10% Rule","")</f>
        <v/>
      </c>
      <c r="E70" s="386" t="str">
        <f>IF(E71*0.1&lt;E69,"Exceed 10% Rule","")</f>
        <v/>
      </c>
      <c r="F70" s="16"/>
      <c r="G70" s="581" t="s">
        <v>273</v>
      </c>
      <c r="H70" s="582"/>
      <c r="I70" s="582"/>
      <c r="J70" s="583">
        <f>IF(J67&gt;0,J69-E75,0)</f>
        <v>0</v>
      </c>
      <c r="K70" s="16"/>
    </row>
    <row r="71" spans="2:11">
      <c r="B71" s="233" t="s">
        <v>410</v>
      </c>
      <c r="C71" s="368">
        <f>SUM(C62:C69)</f>
        <v>0</v>
      </c>
      <c r="D71" s="368">
        <f>SUM(D62:D69)</f>
        <v>0</v>
      </c>
      <c r="E71" s="234">
        <f>SUM(E62:E69)</f>
        <v>0</v>
      </c>
      <c r="F71" s="16"/>
      <c r="G71" s="16"/>
      <c r="H71" s="16"/>
      <c r="I71" s="16"/>
      <c r="J71" s="597"/>
      <c r="K71" s="16"/>
    </row>
    <row r="72" spans="2:11">
      <c r="B72" s="119" t="s">
        <v>494</v>
      </c>
      <c r="C72" s="369">
        <f>C60-C71</f>
        <v>0</v>
      </c>
      <c r="D72" s="369">
        <f>D60-D71</f>
        <v>0</v>
      </c>
      <c r="E72" s="128" t="s">
        <v>396</v>
      </c>
      <c r="F72" s="16"/>
      <c r="G72" s="680" t="str">
        <f>CONCATENATE("Projected Carryover Into ",E3+1,"")</f>
        <v>Projected Carryover Into 2015</v>
      </c>
      <c r="H72" s="694"/>
      <c r="I72" s="694"/>
      <c r="J72" s="693"/>
      <c r="K72" s="16"/>
    </row>
    <row r="73" spans="2:11">
      <c r="B73" s="138" t="str">
        <f>CONCATENATE("",E3-2,"/",E3-1," Budget Authority Amount:")</f>
        <v>2012/2013 Budget Authority Amount:</v>
      </c>
      <c r="C73" s="120">
        <f ca="1">inputOth!B44</f>
        <v>0</v>
      </c>
      <c r="D73" s="387">
        <f ca="1">inputPrYr!D23</f>
        <v>0</v>
      </c>
      <c r="E73" s="128" t="s">
        <v>396</v>
      </c>
      <c r="F73" s="16"/>
      <c r="G73" s="494"/>
      <c r="H73" s="69"/>
      <c r="I73" s="69"/>
      <c r="J73" s="483"/>
      <c r="K73" s="16"/>
    </row>
    <row r="74" spans="2:11">
      <c r="B74" s="138"/>
      <c r="C74" s="688" t="s">
        <v>200</v>
      </c>
      <c r="D74" s="689"/>
      <c r="E74" s="35"/>
      <c r="F74" s="611" t="str">
        <f>IF(E71/0.95-E71&lt;E74,"Exceeds 5%","")</f>
        <v/>
      </c>
      <c r="G74" s="489">
        <f>D72</f>
        <v>0</v>
      </c>
      <c r="H74" s="488" t="str">
        <f>CONCATENATE("",E3-1," Ending Cash Balance (est.)")</f>
        <v>2013 Ending Cash Balance (est.)</v>
      </c>
      <c r="I74" s="584"/>
      <c r="J74" s="483"/>
      <c r="K74" s="16"/>
    </row>
    <row r="75" spans="2:11">
      <c r="B75" s="385" t="str">
        <f>CONCATENATE(C89,"     ",D89)</f>
        <v xml:space="preserve">     </v>
      </c>
      <c r="C75" s="690" t="s">
        <v>201</v>
      </c>
      <c r="D75" s="691"/>
      <c r="E75" s="45">
        <f>E71+E74</f>
        <v>0</v>
      </c>
      <c r="F75" s="16"/>
      <c r="G75" s="489">
        <f>E59</f>
        <v>0</v>
      </c>
      <c r="H75" s="482" t="str">
        <f>CONCATENATE("",E3," Non-AV Receipts (est.)")</f>
        <v>2014 Non-AV Receipts (est.)</v>
      </c>
      <c r="I75" s="584"/>
      <c r="J75" s="483"/>
      <c r="K75" s="16"/>
    </row>
    <row r="76" spans="2:11">
      <c r="B76" s="385" t="str">
        <f>CONCATENATE(C90,"     ",D90)</f>
        <v xml:space="preserve">     </v>
      </c>
      <c r="C76" s="493"/>
      <c r="D76" s="492" t="s">
        <v>202</v>
      </c>
      <c r="E76" s="42">
        <f>IF(E75-E60&gt;0,E75-E60,0)</f>
        <v>0</v>
      </c>
      <c r="F76" s="251"/>
      <c r="G76" s="481">
        <f>IF(E77&gt;0,E76,E78)</f>
        <v>0</v>
      </c>
      <c r="H76" s="482" t="str">
        <f>CONCATENATE("",E3," Ad Valorem Tax (est.)")</f>
        <v>2014 Ad Valorem Tax (est.)</v>
      </c>
      <c r="I76" s="584"/>
      <c r="J76" s="483"/>
      <c r="K76" s="585" t="str">
        <f>IF(G76=E78,"","Note: Does not include Delinquent Taxes")</f>
        <v/>
      </c>
    </row>
    <row r="77" spans="2:11">
      <c r="B77" s="155"/>
      <c r="C77" s="491" t="s">
        <v>203</v>
      </c>
      <c r="D77" s="596">
        <f ca="1">inputOth!$E$35</f>
        <v>0</v>
      </c>
      <c r="E77" s="45">
        <f>ROUND(IF(D77&gt;0,(E76*D77),0),0)</f>
        <v>0</v>
      </c>
      <c r="G77" s="605">
        <f>SUM(G74:G76)</f>
        <v>0</v>
      </c>
      <c r="H77" s="482" t="str">
        <f>CONCATENATE("Total ",E3," Resources Available")</f>
        <v>Total 2014 Resources Available</v>
      </c>
      <c r="I77" s="483"/>
      <c r="J77" s="483"/>
      <c r="K77" s="16"/>
    </row>
    <row r="78" spans="2:11">
      <c r="B78" s="18"/>
      <c r="C78" s="686" t="str">
        <f>CONCATENATE("Amount of  ",$E$3-1," Ad Valorem Tax")</f>
        <v>Amount of  2013 Ad Valorem Tax</v>
      </c>
      <c r="D78" s="687"/>
      <c r="E78" s="42">
        <f>E76+E77</f>
        <v>0</v>
      </c>
      <c r="F78" s="16"/>
      <c r="G78" s="606"/>
      <c r="H78" s="495"/>
      <c r="I78" s="69"/>
      <c r="J78" s="483"/>
      <c r="K78" s="16"/>
    </row>
    <row r="79" spans="2:11">
      <c r="B79" s="18"/>
      <c r="C79" s="156"/>
      <c r="D79" s="156"/>
      <c r="E79" s="156"/>
      <c r="F79" s="16"/>
      <c r="G79" s="607">
        <f>ROUND(C71*0.05+C71,0)</f>
        <v>0</v>
      </c>
      <c r="H79" s="495" t="str">
        <f>CONCATENATE("Less ",E3-2," Expenditures + 5%")</f>
        <v>Less 2012 Expenditures + 5%</v>
      </c>
      <c r="I79" s="483"/>
      <c r="J79" s="483"/>
      <c r="K79" s="16"/>
    </row>
    <row r="80" spans="2:11">
      <c r="B80" s="138" t="s">
        <v>412</v>
      </c>
      <c r="C80" s="252"/>
      <c r="D80" s="18"/>
      <c r="E80" s="18"/>
      <c r="F80" s="16"/>
      <c r="G80" s="608">
        <f>G77-G79</f>
        <v>0</v>
      </c>
      <c r="H80" s="496" t="str">
        <f>CONCATENATE("Projected ",E3+1," carryover (est.)")</f>
        <v>Projected 2015 carryover (est.)</v>
      </c>
      <c r="I80" s="477"/>
      <c r="J80" s="604"/>
      <c r="K80" s="16"/>
    </row>
    <row r="81" spans="3:11">
      <c r="F81" s="16"/>
      <c r="G81" s="597"/>
      <c r="H81" s="597"/>
      <c r="I81" s="597"/>
      <c r="J81" s="16"/>
      <c r="K81" s="16"/>
    </row>
    <row r="82" spans="3:11">
      <c r="F82" s="16"/>
      <c r="G82" s="683" t="s">
        <v>274</v>
      </c>
      <c r="H82" s="684"/>
      <c r="I82" s="684"/>
      <c r="J82" s="685"/>
      <c r="K82" s="16"/>
    </row>
    <row r="83" spans="3:11">
      <c r="F83" s="16"/>
      <c r="G83" s="588"/>
      <c r="H83" s="488"/>
      <c r="I83" s="570"/>
      <c r="J83" s="589"/>
      <c r="K83" s="16"/>
    </row>
    <row r="84" spans="3:11">
      <c r="F84" s="16"/>
      <c r="G84" s="590" t="str">
        <f ca="1">summ!H19</f>
        <v xml:space="preserve"> </v>
      </c>
      <c r="H84" s="488" t="str">
        <f>CONCATENATE("",E3," Fund Mill Rate")</f>
        <v>2014 Fund Mill Rate</v>
      </c>
      <c r="I84" s="570"/>
      <c r="J84" s="589"/>
      <c r="K84" s="16"/>
    </row>
    <row r="85" spans="3:11">
      <c r="F85" s="16"/>
      <c r="G85" s="592" t="str">
        <f ca="1">summ!E19</f>
        <v xml:space="preserve">  </v>
      </c>
      <c r="H85" s="488" t="str">
        <f>CONCATENATE("",E3-1," Fund Mill Rate")</f>
        <v>2013 Fund Mill Rate</v>
      </c>
      <c r="I85" s="570"/>
      <c r="J85" s="589"/>
      <c r="K85" s="16"/>
    </row>
    <row r="86" spans="3:11" ht="15.75" customHeight="1">
      <c r="F86" s="16"/>
      <c r="G86" s="593">
        <f ca="1">summ!H23</f>
        <v>0.82899999999999996</v>
      </c>
      <c r="H86" s="488" t="str">
        <f>CONCATENATE("Total ",E3," Mill Rate")</f>
        <v>Total 2014 Mill Rate</v>
      </c>
      <c r="I86" s="570"/>
      <c r="J86" s="589"/>
      <c r="K86" s="16"/>
    </row>
    <row r="87" spans="3:11" ht="15.75" customHeight="1">
      <c r="C87" s="95" t="str">
        <f>IF(C33&gt;C35,"See Tab A","")</f>
        <v/>
      </c>
      <c r="D87" s="95" t="str">
        <f>IF(D33&gt;D35,"See Tab C","")</f>
        <v/>
      </c>
      <c r="F87" s="16"/>
      <c r="G87" s="592">
        <f ca="1">summ!E23</f>
        <v>1.204</v>
      </c>
      <c r="H87" s="594" t="str">
        <f>CONCATENATE("Total ",E2-1," Mill Rate")</f>
        <v>Total -1 Mill Rate</v>
      </c>
      <c r="I87" s="595"/>
      <c r="J87" s="78"/>
      <c r="K87" s="16"/>
    </row>
    <row r="88" spans="3:11" ht="15.75" customHeight="1">
      <c r="C88" s="95" t="str">
        <f>IF(C34&lt;0,"See Tab B","")</f>
        <v/>
      </c>
      <c r="D88" s="95" t="str">
        <f>IF(D34&lt;0,"See Tab D","")</f>
        <v/>
      </c>
    </row>
    <row r="89" spans="3:11" ht="15.75" customHeight="1">
      <c r="C89" s="95" t="str">
        <f>IF(C71&gt;C73,"See Tab A","")</f>
        <v/>
      </c>
      <c r="D89" s="95" t="str">
        <f>IF(D71&gt;D73,"See Tab C","")</f>
        <v/>
      </c>
      <c r="G89" s="631" t="s">
        <v>72</v>
      </c>
      <c r="H89" s="630"/>
      <c r="I89" s="629" t="str">
        <f ca="1">cert!F31</f>
        <v>Yes</v>
      </c>
    </row>
    <row r="90" spans="3:11" ht="21" customHeight="1">
      <c r="C90" s="95" t="str">
        <f>IF(C72&lt;0,"See Tab B","")</f>
        <v/>
      </c>
      <c r="D90" s="95" t="str">
        <f>IF(D72&lt;0,"See Tab D","")</f>
        <v/>
      </c>
    </row>
    <row r="91" spans="3:11">
      <c r="G91" s="612"/>
      <c r="H91" s="572"/>
      <c r="I91" s="617"/>
      <c r="J91" s="613"/>
    </row>
  </sheetData>
  <sheetProtection sheet="1"/>
  <mergeCells count="12">
    <mergeCell ref="G82:J82"/>
    <mergeCell ref="C78:D78"/>
    <mergeCell ref="C36:D36"/>
    <mergeCell ref="C37:D37"/>
    <mergeCell ref="G25:J25"/>
    <mergeCell ref="G32:J32"/>
    <mergeCell ref="C40:D40"/>
    <mergeCell ref="C74:D74"/>
    <mergeCell ref="C75:D75"/>
    <mergeCell ref="G65:J65"/>
    <mergeCell ref="G42:J42"/>
    <mergeCell ref="G72:J72"/>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54" orientation="portrait" blackAndWhite="1" horizontalDpi="120" verticalDpi="144" r:id="rId1"/>
  <headerFooter alignWithMargins="0">
    <oddHeader xml:space="preserve">&amp;RState of Kansas
Special District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E70"/>
  <sheetViews>
    <sheetView workbookViewId="0">
      <selection activeCell="C25" sqref="C25:E26"/>
    </sheetView>
  </sheetViews>
  <sheetFormatPr defaultColWidth="27.77734375" defaultRowHeight="15.75"/>
  <cols>
    <col min="1" max="1" width="2.44140625" style="95" customWidth="1"/>
    <col min="2" max="2" width="31.109375" style="95" customWidth="1"/>
    <col min="3" max="4" width="15.77734375" style="95" customWidth="1"/>
    <col min="5" max="5" width="17.6640625" style="95" customWidth="1"/>
    <col min="6" max="16384" width="27.77734375" style="95"/>
  </cols>
  <sheetData>
    <row r="1" spans="2:5">
      <c r="B1" s="18" t="str">
        <f ca="1">inputPrYr!D3</f>
        <v>Crowm Hill Cemetery</v>
      </c>
      <c r="C1" s="222"/>
      <c r="D1" s="18"/>
      <c r="E1" s="182"/>
    </row>
    <row r="2" spans="2:5">
      <c r="B2" s="18" t="str">
        <f ca="1">inputPrYr!D4</f>
        <v xml:space="preserve">Comanche County </v>
      </c>
      <c r="C2" s="222"/>
      <c r="D2" s="18"/>
      <c r="E2" s="138"/>
    </row>
    <row r="3" spans="2:5">
      <c r="B3" s="25" t="s">
        <v>450</v>
      </c>
      <c r="C3" s="222"/>
      <c r="D3" s="222"/>
      <c r="E3" s="138">
        <f ca="1">inputPrYr!D6</f>
        <v>2014</v>
      </c>
    </row>
    <row r="4" spans="2:5">
      <c r="B4" s="18"/>
      <c r="C4" s="106"/>
      <c r="D4" s="106"/>
      <c r="E4" s="106"/>
    </row>
    <row r="5" spans="2:5">
      <c r="B5" s="17" t="s">
        <v>400</v>
      </c>
      <c r="C5" s="254" t="s">
        <v>614</v>
      </c>
      <c r="D5" s="223" t="s">
        <v>615</v>
      </c>
      <c r="E5" s="223" t="s">
        <v>612</v>
      </c>
    </row>
    <row r="6" spans="2:5">
      <c r="B6" s="388">
        <f ca="1">inputPrYr!B26</f>
        <v>0</v>
      </c>
      <c r="C6" s="224" t="str">
        <f>CONCATENATE("Actual for ",E3-2,"")</f>
        <v>Actual for 2012</v>
      </c>
      <c r="D6" s="224" t="str">
        <f>CONCATENATE("Estimate for ",E3-1,"")</f>
        <v>Estimate for 2013</v>
      </c>
      <c r="E6" s="224" t="str">
        <f>CONCATENATE("Year for ",E3,"")</f>
        <v>Year for 2014</v>
      </c>
    </row>
    <row r="7" spans="2:5">
      <c r="B7" s="119" t="s">
        <v>493</v>
      </c>
      <c r="C7" s="35"/>
      <c r="D7" s="45">
        <f>C32</f>
        <v>0</v>
      </c>
      <c r="E7" s="45">
        <f>D32</f>
        <v>0</v>
      </c>
    </row>
    <row r="8" spans="2:5">
      <c r="B8" s="226" t="s">
        <v>495</v>
      </c>
      <c r="C8" s="36"/>
      <c r="D8" s="36"/>
      <c r="E8" s="36"/>
    </row>
    <row r="9" spans="2:5">
      <c r="B9" s="228"/>
      <c r="C9" s="198"/>
      <c r="D9" s="198"/>
      <c r="E9" s="198"/>
    </row>
    <row r="10" spans="2:5">
      <c r="B10" s="228"/>
      <c r="C10" s="198"/>
      <c r="D10" s="198"/>
      <c r="E10" s="198"/>
    </row>
    <row r="11" spans="2:5">
      <c r="B11" s="228"/>
      <c r="C11" s="198"/>
      <c r="D11" s="198"/>
      <c r="E11" s="198"/>
    </row>
    <row r="12" spans="2:5">
      <c r="B12" s="228"/>
      <c r="C12" s="198"/>
      <c r="D12" s="198"/>
      <c r="E12" s="198"/>
    </row>
    <row r="13" spans="2:5">
      <c r="B13" s="228"/>
      <c r="C13" s="198"/>
      <c r="D13" s="198"/>
      <c r="E13" s="198"/>
    </row>
    <row r="14" spans="2:5">
      <c r="B14" s="228"/>
      <c r="C14" s="198"/>
      <c r="D14" s="198"/>
      <c r="E14" s="198"/>
    </row>
    <row r="15" spans="2:5">
      <c r="B15" s="228"/>
      <c r="C15" s="198"/>
      <c r="D15" s="198"/>
      <c r="E15" s="198"/>
    </row>
    <row r="16" spans="2:5">
      <c r="B16" s="229" t="s">
        <v>406</v>
      </c>
      <c r="C16" s="198"/>
      <c r="D16" s="198"/>
      <c r="E16" s="198"/>
    </row>
    <row r="17" spans="2:5">
      <c r="B17" s="230" t="s">
        <v>586</v>
      </c>
      <c r="C17" s="198"/>
      <c r="D17" s="231"/>
      <c r="E17" s="231"/>
    </row>
    <row r="18" spans="2:5">
      <c r="B18" s="230" t="s">
        <v>104</v>
      </c>
      <c r="C18" s="386" t="str">
        <f>IF(C19*0.1&lt;C17,"Exceed 10% Rule","")</f>
        <v/>
      </c>
      <c r="D18" s="232" t="str">
        <f>IF(D19*0.1&lt;D17,"Exceed 10% Rule","")</f>
        <v/>
      </c>
      <c r="E18" s="232" t="str">
        <f>IF(E19*0.1&lt;E17,"Exceed 10% Rule","")</f>
        <v/>
      </c>
    </row>
    <row r="19" spans="2:5">
      <c r="B19" s="233" t="s">
        <v>407</v>
      </c>
      <c r="C19" s="234">
        <f>SUM(C9:C17)</f>
        <v>0</v>
      </c>
      <c r="D19" s="234">
        <f>SUM(D9:D17)</f>
        <v>0</v>
      </c>
      <c r="E19" s="234">
        <f>SUM(E9:E17)</f>
        <v>0</v>
      </c>
    </row>
    <row r="20" spans="2:5">
      <c r="B20" s="233" t="s">
        <v>408</v>
      </c>
      <c r="C20" s="234">
        <f>C19+C7</f>
        <v>0</v>
      </c>
      <c r="D20" s="234">
        <f>D19+D7</f>
        <v>0</v>
      </c>
      <c r="E20" s="234">
        <f>E19+E7</f>
        <v>0</v>
      </c>
    </row>
    <row r="21" spans="2:5">
      <c r="B21" s="119" t="s">
        <v>409</v>
      </c>
      <c r="C21" s="36"/>
      <c r="D21" s="36"/>
      <c r="E21" s="36"/>
    </row>
    <row r="22" spans="2:5">
      <c r="B22" s="228"/>
      <c r="C22" s="198"/>
      <c r="D22" s="198"/>
      <c r="E22" s="198"/>
    </row>
    <row r="23" spans="2:5">
      <c r="B23" s="228"/>
      <c r="C23" s="198"/>
      <c r="D23" s="198"/>
      <c r="E23" s="198"/>
    </row>
    <row r="24" spans="2:5">
      <c r="B24" s="228"/>
      <c r="C24" s="198"/>
      <c r="D24" s="198"/>
      <c r="E24" s="198"/>
    </row>
    <row r="25" spans="2:5">
      <c r="B25" s="228"/>
      <c r="C25" s="198"/>
      <c r="D25" s="198"/>
      <c r="E25" s="198"/>
    </row>
    <row r="26" spans="2:5">
      <c r="B26" s="228"/>
      <c r="C26" s="198"/>
      <c r="D26" s="198"/>
      <c r="E26" s="198"/>
    </row>
    <row r="27" spans="2:5">
      <c r="B27" s="228"/>
      <c r="C27" s="198"/>
      <c r="D27" s="198"/>
      <c r="E27" s="198"/>
    </row>
    <row r="28" spans="2:5">
      <c r="B28" s="228"/>
      <c r="C28" s="198"/>
      <c r="D28" s="198"/>
      <c r="E28" s="198"/>
    </row>
    <row r="29" spans="2:5">
      <c r="B29" s="121" t="s">
        <v>586</v>
      </c>
      <c r="C29" s="35"/>
      <c r="D29" s="225"/>
      <c r="E29" s="225"/>
    </row>
    <row r="30" spans="2:5">
      <c r="B30" s="121" t="s">
        <v>103</v>
      </c>
      <c r="C30" s="386" t="str">
        <f>IF(C31*0.1&lt;C29,"Exceed 10% Rule","")</f>
        <v/>
      </c>
      <c r="D30" s="232" t="str">
        <f>IF(D31*0.1&lt;D29,"Exceed 10% Rule","")</f>
        <v/>
      </c>
      <c r="E30" s="232" t="str">
        <f>IF(E31*0.1&lt;E29,"Exceed 10% Rule","")</f>
        <v/>
      </c>
    </row>
    <row r="31" spans="2:5">
      <c r="B31" s="233" t="s">
        <v>410</v>
      </c>
      <c r="C31" s="234">
        <f>SUM(C22:C29)</f>
        <v>0</v>
      </c>
      <c r="D31" s="234">
        <f>SUM(D22:D29)</f>
        <v>0</v>
      </c>
      <c r="E31" s="234">
        <f>SUM(E22:E29)</f>
        <v>0</v>
      </c>
    </row>
    <row r="32" spans="2:5">
      <c r="B32" s="119" t="s">
        <v>494</v>
      </c>
      <c r="C32" s="42">
        <f>C20-C31</f>
        <v>0</v>
      </c>
      <c r="D32" s="42">
        <f>D20-D31</f>
        <v>0</v>
      </c>
      <c r="E32" s="42">
        <f>E20-E31</f>
        <v>0</v>
      </c>
    </row>
    <row r="33" spans="2:5">
      <c r="B33" s="138" t="str">
        <f>CONCATENATE("",E3-2,"/",E3-1," Budget Authority Amount:")</f>
        <v>2012/2013 Budget Authority Amount:</v>
      </c>
      <c r="C33" s="120">
        <f ca="1">inputOth!B45</f>
        <v>0</v>
      </c>
      <c r="D33" s="120">
        <f ca="1">inputPrYr!D26</f>
        <v>0</v>
      </c>
      <c r="E33" s="390" t="str">
        <f>IF(E32&lt;0,"See Tab E","")</f>
        <v/>
      </c>
    </row>
    <row r="34" spans="2:5">
      <c r="B34" s="138"/>
      <c r="C34" s="235" t="str">
        <f>IF(C31&gt;C33,"See Tab A","")</f>
        <v/>
      </c>
      <c r="D34" s="235" t="str">
        <f>IF(D31&gt;D33,"See Tab C","")</f>
        <v/>
      </c>
      <c r="E34" s="37"/>
    </row>
    <row r="35" spans="2:5">
      <c r="B35" s="138"/>
      <c r="C35" s="235" t="str">
        <f>IF(C32&lt;0,"See Tab B","")</f>
        <v/>
      </c>
      <c r="D35" s="235" t="str">
        <f>IF(D32&lt;0,"See Tab D","")</f>
        <v/>
      </c>
      <c r="E35" s="37"/>
    </row>
    <row r="36" spans="2:5">
      <c r="B36" s="18"/>
      <c r="C36" s="156"/>
      <c r="D36" s="156"/>
      <c r="E36" s="156"/>
    </row>
    <row r="37" spans="2:5">
      <c r="B37" s="18"/>
      <c r="C37" s="106"/>
      <c r="D37" s="106"/>
      <c r="E37" s="106"/>
    </row>
    <row r="38" spans="2:5" ht="15.75" customHeight="1">
      <c r="B38" s="17" t="s">
        <v>400</v>
      </c>
      <c r="C38" s="254" t="s">
        <v>614</v>
      </c>
      <c r="D38" s="223" t="s">
        <v>615</v>
      </c>
      <c r="E38" s="223" t="s">
        <v>612</v>
      </c>
    </row>
    <row r="39" spans="2:5" ht="15.75" customHeight="1">
      <c r="B39" s="388">
        <f ca="1">inputPrYr!B27</f>
        <v>0</v>
      </c>
      <c r="C39" s="224" t="str">
        <f>C6</f>
        <v>Actual for 2012</v>
      </c>
      <c r="D39" s="224" t="str">
        <f>D6</f>
        <v>Estimate for 2013</v>
      </c>
      <c r="E39" s="224" t="str">
        <f>E6</f>
        <v>Year for 2014</v>
      </c>
    </row>
    <row r="40" spans="2:5">
      <c r="B40" s="119" t="s">
        <v>493</v>
      </c>
      <c r="C40" s="35"/>
      <c r="D40" s="45">
        <f>C65</f>
        <v>0</v>
      </c>
      <c r="E40" s="45">
        <f>D65</f>
        <v>0</v>
      </c>
    </row>
    <row r="41" spans="2:5">
      <c r="B41" s="226" t="s">
        <v>495</v>
      </c>
      <c r="C41" s="36"/>
      <c r="D41" s="36"/>
      <c r="E41" s="36"/>
    </row>
    <row r="42" spans="2:5">
      <c r="B42" s="228"/>
      <c r="C42" s="198"/>
      <c r="D42" s="198"/>
      <c r="E42" s="198"/>
    </row>
    <row r="43" spans="2:5">
      <c r="B43" s="228"/>
      <c r="C43" s="198"/>
      <c r="D43" s="198"/>
      <c r="E43" s="198"/>
    </row>
    <row r="44" spans="2:5">
      <c r="B44" s="228"/>
      <c r="C44" s="198"/>
      <c r="D44" s="198"/>
      <c r="E44" s="198"/>
    </row>
    <row r="45" spans="2:5">
      <c r="B45" s="228"/>
      <c r="C45" s="198"/>
      <c r="D45" s="198"/>
      <c r="E45" s="198"/>
    </row>
    <row r="46" spans="2:5">
      <c r="B46" s="228"/>
      <c r="C46" s="198"/>
      <c r="D46" s="198"/>
      <c r="E46" s="198"/>
    </row>
    <row r="47" spans="2:5">
      <c r="B47" s="228"/>
      <c r="C47" s="198"/>
      <c r="D47" s="198"/>
      <c r="E47" s="198"/>
    </row>
    <row r="48" spans="2:5">
      <c r="B48" s="228"/>
      <c r="C48" s="198"/>
      <c r="D48" s="198"/>
      <c r="E48" s="198"/>
    </row>
    <row r="49" spans="2:5">
      <c r="B49" s="229" t="s">
        <v>406</v>
      </c>
      <c r="C49" s="198"/>
      <c r="D49" s="198"/>
      <c r="E49" s="198"/>
    </row>
    <row r="50" spans="2:5">
      <c r="B50" s="230" t="s">
        <v>586</v>
      </c>
      <c r="C50" s="198"/>
      <c r="D50" s="231"/>
      <c r="E50" s="231"/>
    </row>
    <row r="51" spans="2:5">
      <c r="B51" s="230" t="s">
        <v>104</v>
      </c>
      <c r="C51" s="386" t="str">
        <f>IF(C52*0.1&lt;C50,"Exceed 10% Rule","")</f>
        <v/>
      </c>
      <c r="D51" s="232" t="str">
        <f>IF(D52*0.1&lt;D50,"Exceed 10% Rule","")</f>
        <v/>
      </c>
      <c r="E51" s="232" t="str">
        <f>IF(E52*0.1&lt;E50,"Exceed 10% Rule","")</f>
        <v/>
      </c>
    </row>
    <row r="52" spans="2:5">
      <c r="B52" s="233" t="s">
        <v>407</v>
      </c>
      <c r="C52" s="234">
        <f>SUM(C42:C50)</f>
        <v>0</v>
      </c>
      <c r="D52" s="234">
        <f>SUM(D42:D50)</f>
        <v>0</v>
      </c>
      <c r="E52" s="234">
        <f>SUM(E42:E50)</f>
        <v>0</v>
      </c>
    </row>
    <row r="53" spans="2:5">
      <c r="B53" s="233" t="s">
        <v>408</v>
      </c>
      <c r="C53" s="234">
        <f>C52+C40</f>
        <v>0</v>
      </c>
      <c r="D53" s="234">
        <f>D52+D40</f>
        <v>0</v>
      </c>
      <c r="E53" s="234">
        <f>E52+E40</f>
        <v>0</v>
      </c>
    </row>
    <row r="54" spans="2:5">
      <c r="B54" s="119" t="s">
        <v>409</v>
      </c>
      <c r="C54" s="36"/>
      <c r="D54" s="36"/>
      <c r="E54" s="36"/>
    </row>
    <row r="55" spans="2:5">
      <c r="B55" s="228"/>
      <c r="C55" s="198"/>
      <c r="D55" s="198"/>
      <c r="E55" s="198"/>
    </row>
    <row r="56" spans="2:5">
      <c r="B56" s="228"/>
      <c r="C56" s="198"/>
      <c r="D56" s="198"/>
      <c r="E56" s="198"/>
    </row>
    <row r="57" spans="2:5">
      <c r="B57" s="228"/>
      <c r="C57" s="198"/>
      <c r="D57" s="198"/>
      <c r="E57" s="198"/>
    </row>
    <row r="58" spans="2:5">
      <c r="B58" s="228"/>
      <c r="C58" s="198"/>
      <c r="D58" s="198"/>
      <c r="E58" s="198"/>
    </row>
    <row r="59" spans="2:5">
      <c r="B59" s="228"/>
      <c r="C59" s="198"/>
      <c r="D59" s="198"/>
      <c r="E59" s="198"/>
    </row>
    <row r="60" spans="2:5">
      <c r="B60" s="228"/>
      <c r="C60" s="198"/>
      <c r="D60" s="198"/>
      <c r="E60" s="198"/>
    </row>
    <row r="61" spans="2:5">
      <c r="B61" s="228"/>
      <c r="C61" s="198"/>
      <c r="D61" s="198"/>
      <c r="E61" s="198"/>
    </row>
    <row r="62" spans="2:5">
      <c r="B62" s="121" t="s">
        <v>586</v>
      </c>
      <c r="C62" s="35"/>
      <c r="D62" s="225"/>
      <c r="E62" s="225"/>
    </row>
    <row r="63" spans="2:5">
      <c r="B63" s="121" t="s">
        <v>103</v>
      </c>
      <c r="C63" s="386" t="str">
        <f>IF(C64*0.1&lt;C62,"Exceed 10% Rule","")</f>
        <v/>
      </c>
      <c r="D63" s="232" t="str">
        <f>IF(D64*0.1&lt;D62,"Exceed 10% Rule","")</f>
        <v/>
      </c>
      <c r="E63" s="232" t="str">
        <f>IF(E64*0.1&lt;E62,"Exceed 10% Rule","")</f>
        <v/>
      </c>
    </row>
    <row r="64" spans="2:5">
      <c r="B64" s="233" t="s">
        <v>410</v>
      </c>
      <c r="C64" s="234">
        <f>SUM(C55:C62)</f>
        <v>0</v>
      </c>
      <c r="D64" s="234">
        <f>SUM(D55:D62)</f>
        <v>0</v>
      </c>
      <c r="E64" s="234">
        <f>SUM(E55:E62)</f>
        <v>0</v>
      </c>
    </row>
    <row r="65" spans="2:5">
      <c r="B65" s="119" t="s">
        <v>494</v>
      </c>
      <c r="C65" s="42">
        <f>C53-C64</f>
        <v>0</v>
      </c>
      <c r="D65" s="42">
        <f>D53-D64</f>
        <v>0</v>
      </c>
      <c r="E65" s="42">
        <f>E53-E64</f>
        <v>0</v>
      </c>
    </row>
    <row r="66" spans="2:5">
      <c r="B66" s="138" t="str">
        <f>CONCATENATE("",E3-2,"/",E3-1," Budget Authority Amount:")</f>
        <v>2012/2013 Budget Authority Amount:</v>
      </c>
      <c r="C66" s="120">
        <f ca="1">inputOth!B46</f>
        <v>0</v>
      </c>
      <c r="D66" s="120">
        <f ca="1">inputPrYr!D27</f>
        <v>0</v>
      </c>
      <c r="E66" s="390" t="str">
        <f>IF(E65&lt;0,"See Tab E","")</f>
        <v/>
      </c>
    </row>
    <row r="67" spans="2:5">
      <c r="B67" s="138"/>
      <c r="C67" s="235" t="str">
        <f>IF(C64&gt;C66,"See Tab A","")</f>
        <v/>
      </c>
      <c r="D67" s="235" t="str">
        <f>IF(D64&gt;D66,"See Tab C","")</f>
        <v/>
      </c>
      <c r="E67" s="18"/>
    </row>
    <row r="68" spans="2:5">
      <c r="B68" s="138"/>
      <c r="C68" s="235" t="str">
        <f>IF(C65&lt;0,"See Tab B","")</f>
        <v/>
      </c>
      <c r="D68" s="235" t="str">
        <f>IF(D65&lt;0,"See Tab D","")</f>
        <v/>
      </c>
      <c r="E68" s="18"/>
    </row>
    <row r="69" spans="2:5">
      <c r="B69" s="18"/>
      <c r="C69" s="18"/>
      <c r="D69" s="222"/>
      <c r="E69" s="222"/>
    </row>
    <row r="70" spans="2:5">
      <c r="B70" s="138" t="s">
        <v>412</v>
      </c>
      <c r="C70" s="252"/>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95" customWidth="1"/>
    <col min="2" max="2" width="7.44140625" style="95" customWidth="1"/>
    <col min="3" max="3" width="11.5546875" style="95" customWidth="1"/>
    <col min="4" max="4" width="7.44140625" style="95" customWidth="1"/>
    <col min="5" max="5" width="11.5546875" style="95" customWidth="1"/>
    <col min="6" max="6" width="7.44140625" style="95" customWidth="1"/>
    <col min="7" max="7" width="11.5546875" style="95" customWidth="1"/>
    <col min="8" max="8" width="7.44140625" style="95" customWidth="1"/>
    <col min="9" max="9" width="11.5546875" style="95" customWidth="1"/>
    <col min="10" max="16384" width="8.88671875" style="95"/>
  </cols>
  <sheetData>
    <row r="1" spans="1:11">
      <c r="A1" s="165" t="str">
        <f ca="1">inputPrYr!$D$3</f>
        <v>Crowm Hill Cemetery</v>
      </c>
      <c r="B1" s="255"/>
      <c r="C1" s="60"/>
      <c r="D1" s="60"/>
      <c r="E1" s="60"/>
      <c r="F1" s="256" t="s">
        <v>599</v>
      </c>
      <c r="G1" s="60"/>
      <c r="H1" s="60"/>
      <c r="I1" s="60"/>
      <c r="J1" s="60"/>
      <c r="K1" s="60">
        <f ca="1">inputPrYr!$D$6</f>
        <v>2014</v>
      </c>
    </row>
    <row r="2" spans="1:11">
      <c r="A2" s="60"/>
      <c r="B2" s="60"/>
      <c r="C2" s="60"/>
      <c r="D2" s="60"/>
      <c r="E2" s="60"/>
      <c r="F2" s="257" t="str">
        <f>CONCATENATE("(Only the actual budget year for ",K1-2," is to be shown)")</f>
        <v>(Only the actual budget year for 2012 is to be shown)</v>
      </c>
      <c r="G2" s="60"/>
      <c r="H2" s="60"/>
      <c r="I2" s="60"/>
      <c r="J2" s="60"/>
      <c r="K2" s="60"/>
    </row>
    <row r="3" spans="1:11">
      <c r="A3" s="60" t="s">
        <v>600</v>
      </c>
      <c r="B3" s="60"/>
      <c r="C3" s="60"/>
      <c r="D3" s="60"/>
      <c r="E3" s="60"/>
      <c r="F3" s="255"/>
      <c r="G3" s="60"/>
      <c r="H3" s="60"/>
      <c r="I3" s="60"/>
      <c r="J3" s="60"/>
      <c r="K3" s="60"/>
    </row>
    <row r="4" spans="1:11">
      <c r="A4" s="60" t="s">
        <v>601</v>
      </c>
      <c r="B4" s="60"/>
      <c r="C4" s="60" t="s">
        <v>602</v>
      </c>
      <c r="D4" s="60"/>
      <c r="E4" s="60" t="s">
        <v>603</v>
      </c>
      <c r="F4" s="255"/>
      <c r="G4" s="60" t="s">
        <v>604</v>
      </c>
      <c r="H4" s="60"/>
      <c r="I4" s="60" t="s">
        <v>605</v>
      </c>
      <c r="J4" s="60"/>
      <c r="K4" s="60"/>
    </row>
    <row r="5" spans="1:11">
      <c r="A5" s="695">
        <f ca="1">inputPrYr!B30</f>
        <v>0</v>
      </c>
      <c r="B5" s="696"/>
      <c r="C5" s="695">
        <f ca="1">inputPrYr!B31</f>
        <v>0</v>
      </c>
      <c r="D5" s="696"/>
      <c r="E5" s="695">
        <f ca="1">inputPrYr!B32</f>
        <v>0</v>
      </c>
      <c r="F5" s="696"/>
      <c r="G5" s="695">
        <f ca="1">inputPrYr!B33</f>
        <v>0</v>
      </c>
      <c r="H5" s="696"/>
      <c r="I5" s="695">
        <f ca="1">inputPrYr!B34</f>
        <v>0</v>
      </c>
      <c r="J5" s="696"/>
      <c r="K5" s="259"/>
    </row>
    <row r="6" spans="1:11">
      <c r="A6" s="260" t="s">
        <v>606</v>
      </c>
      <c r="B6" s="261"/>
      <c r="C6" s="262" t="s">
        <v>606</v>
      </c>
      <c r="D6" s="263"/>
      <c r="E6" s="262" t="s">
        <v>606</v>
      </c>
      <c r="F6" s="264"/>
      <c r="G6" s="262" t="s">
        <v>606</v>
      </c>
      <c r="H6" s="258"/>
      <c r="I6" s="262" t="s">
        <v>606</v>
      </c>
      <c r="J6" s="60"/>
      <c r="K6" s="265" t="s">
        <v>381</v>
      </c>
    </row>
    <row r="7" spans="1:11">
      <c r="A7" s="266" t="s">
        <v>607</v>
      </c>
      <c r="B7" s="267"/>
      <c r="C7" s="268" t="s">
        <v>607</v>
      </c>
      <c r="D7" s="267"/>
      <c r="E7" s="268" t="s">
        <v>607</v>
      </c>
      <c r="F7" s="267"/>
      <c r="G7" s="268" t="s">
        <v>607</v>
      </c>
      <c r="H7" s="267"/>
      <c r="I7" s="268" t="s">
        <v>607</v>
      </c>
      <c r="J7" s="267"/>
      <c r="K7" s="269">
        <f>SUM(B7+D7+F7+H7+J7)</f>
        <v>0</v>
      </c>
    </row>
    <row r="8" spans="1:11">
      <c r="A8" s="270" t="s">
        <v>495</v>
      </c>
      <c r="B8" s="271"/>
      <c r="C8" s="270" t="s">
        <v>495</v>
      </c>
      <c r="D8" s="272"/>
      <c r="E8" s="270" t="s">
        <v>495</v>
      </c>
      <c r="F8" s="255"/>
      <c r="G8" s="270" t="s">
        <v>495</v>
      </c>
      <c r="H8" s="60"/>
      <c r="I8" s="270" t="s">
        <v>495</v>
      </c>
      <c r="J8" s="60"/>
      <c r="K8" s="255"/>
    </row>
    <row r="9" spans="1:11">
      <c r="A9" s="273"/>
      <c r="B9" s="267"/>
      <c r="C9" s="273"/>
      <c r="D9" s="267"/>
      <c r="E9" s="273"/>
      <c r="F9" s="267"/>
      <c r="G9" s="273"/>
      <c r="H9" s="267"/>
      <c r="I9" s="273"/>
      <c r="J9" s="267"/>
      <c r="K9" s="255"/>
    </row>
    <row r="10" spans="1:11">
      <c r="A10" s="273"/>
      <c r="B10" s="267"/>
      <c r="C10" s="273"/>
      <c r="D10" s="267"/>
      <c r="E10" s="273"/>
      <c r="F10" s="267"/>
      <c r="G10" s="273"/>
      <c r="H10" s="267"/>
      <c r="I10" s="273"/>
      <c r="J10" s="267"/>
      <c r="K10" s="255"/>
    </row>
    <row r="11" spans="1:11">
      <c r="A11" s="273"/>
      <c r="B11" s="267"/>
      <c r="C11" s="274"/>
      <c r="D11" s="275"/>
      <c r="E11" s="274"/>
      <c r="F11" s="267"/>
      <c r="G11" s="274"/>
      <c r="H11" s="267"/>
      <c r="I11" s="276"/>
      <c r="J11" s="267"/>
      <c r="K11" s="255"/>
    </row>
    <row r="12" spans="1:11">
      <c r="A12" s="273"/>
      <c r="B12" s="277"/>
      <c r="C12" s="273"/>
      <c r="D12" s="278"/>
      <c r="E12" s="279"/>
      <c r="F12" s="267"/>
      <c r="G12" s="279"/>
      <c r="H12" s="267"/>
      <c r="I12" s="279"/>
      <c r="J12" s="267"/>
      <c r="K12" s="255"/>
    </row>
    <row r="13" spans="1:11">
      <c r="A13" s="280"/>
      <c r="B13" s="281"/>
      <c r="C13" s="282"/>
      <c r="D13" s="278"/>
      <c r="E13" s="282"/>
      <c r="F13" s="267"/>
      <c r="G13" s="282"/>
      <c r="H13" s="267"/>
      <c r="I13" s="276"/>
      <c r="J13" s="267"/>
      <c r="K13" s="255"/>
    </row>
    <row r="14" spans="1:11">
      <c r="A14" s="273"/>
      <c r="B14" s="267"/>
      <c r="C14" s="279"/>
      <c r="D14" s="278"/>
      <c r="E14" s="279"/>
      <c r="F14" s="267"/>
      <c r="G14" s="279"/>
      <c r="H14" s="267"/>
      <c r="I14" s="279"/>
      <c r="J14" s="267"/>
      <c r="K14" s="255"/>
    </row>
    <row r="15" spans="1:11">
      <c r="A15" s="273"/>
      <c r="B15" s="267"/>
      <c r="C15" s="279"/>
      <c r="D15" s="278"/>
      <c r="E15" s="279"/>
      <c r="F15" s="267"/>
      <c r="G15" s="279"/>
      <c r="H15" s="267"/>
      <c r="I15" s="279"/>
      <c r="J15" s="267"/>
      <c r="K15" s="255"/>
    </row>
    <row r="16" spans="1:11">
      <c r="A16" s="273"/>
      <c r="B16" s="281"/>
      <c r="C16" s="273"/>
      <c r="D16" s="278"/>
      <c r="E16" s="273"/>
      <c r="F16" s="267"/>
      <c r="G16" s="279"/>
      <c r="H16" s="267"/>
      <c r="I16" s="273"/>
      <c r="J16" s="267"/>
      <c r="K16" s="255"/>
    </row>
    <row r="17" spans="1:12">
      <c r="A17" s="270" t="s">
        <v>407</v>
      </c>
      <c r="B17" s="269">
        <f>SUM(B9:B16)</f>
        <v>0</v>
      </c>
      <c r="C17" s="270" t="s">
        <v>407</v>
      </c>
      <c r="D17" s="269">
        <f>SUM(D9:D16)</f>
        <v>0</v>
      </c>
      <c r="E17" s="270" t="s">
        <v>407</v>
      </c>
      <c r="F17" s="283">
        <f>SUM(F9:F16)</f>
        <v>0</v>
      </c>
      <c r="G17" s="270" t="s">
        <v>407</v>
      </c>
      <c r="H17" s="269">
        <f>SUM(H9:H16)</f>
        <v>0</v>
      </c>
      <c r="I17" s="270" t="s">
        <v>407</v>
      </c>
      <c r="J17" s="269">
        <f>SUM(J9:J16)</f>
        <v>0</v>
      </c>
      <c r="K17" s="269">
        <f>SUM(B17+D17+F17+H17+J17)</f>
        <v>0</v>
      </c>
    </row>
    <row r="18" spans="1:12">
      <c r="A18" s="270" t="s">
        <v>408</v>
      </c>
      <c r="B18" s="269">
        <f>SUM(B7+B17)</f>
        <v>0</v>
      </c>
      <c r="C18" s="270" t="s">
        <v>408</v>
      </c>
      <c r="D18" s="269">
        <f>SUM(D7+D17)</f>
        <v>0</v>
      </c>
      <c r="E18" s="270" t="s">
        <v>408</v>
      </c>
      <c r="F18" s="269">
        <f>SUM(F7+F17)</f>
        <v>0</v>
      </c>
      <c r="G18" s="270" t="s">
        <v>408</v>
      </c>
      <c r="H18" s="269">
        <f>SUM(H7+H17)</f>
        <v>0</v>
      </c>
      <c r="I18" s="270" t="s">
        <v>408</v>
      </c>
      <c r="J18" s="269">
        <f>SUM(J7+J17)</f>
        <v>0</v>
      </c>
      <c r="K18" s="269">
        <f>SUM(B18+D18+F18+H18+J18)</f>
        <v>0</v>
      </c>
    </row>
    <row r="19" spans="1:12">
      <c r="A19" s="270" t="s">
        <v>409</v>
      </c>
      <c r="B19" s="271"/>
      <c r="C19" s="270" t="s">
        <v>409</v>
      </c>
      <c r="D19" s="272"/>
      <c r="E19" s="270" t="s">
        <v>409</v>
      </c>
      <c r="F19" s="255"/>
      <c r="G19" s="270" t="s">
        <v>409</v>
      </c>
      <c r="H19" s="60"/>
      <c r="I19" s="270" t="s">
        <v>409</v>
      </c>
      <c r="J19" s="60"/>
      <c r="K19" s="255"/>
    </row>
    <row r="20" spans="1:12">
      <c r="A20" s="273"/>
      <c r="B20" s="267"/>
      <c r="C20" s="279"/>
      <c r="D20" s="267"/>
      <c r="E20" s="279"/>
      <c r="F20" s="267"/>
      <c r="G20" s="279"/>
      <c r="H20" s="267"/>
      <c r="I20" s="279"/>
      <c r="J20" s="267"/>
      <c r="K20" s="255"/>
    </row>
    <row r="21" spans="1:12">
      <c r="A21" s="273"/>
      <c r="B21" s="267"/>
      <c r="C21" s="279"/>
      <c r="D21" s="267"/>
      <c r="E21" s="279"/>
      <c r="F21" s="267"/>
      <c r="G21" s="279"/>
      <c r="H21" s="267"/>
      <c r="I21" s="279"/>
      <c r="J21" s="267"/>
      <c r="K21" s="255"/>
    </row>
    <row r="22" spans="1:12">
      <c r="A22" s="273"/>
      <c r="B22" s="267"/>
      <c r="C22" s="282"/>
      <c r="D22" s="267"/>
      <c r="E22" s="282"/>
      <c r="F22" s="267"/>
      <c r="G22" s="282"/>
      <c r="H22" s="267"/>
      <c r="I22" s="276"/>
      <c r="J22" s="267"/>
      <c r="K22" s="255"/>
    </row>
    <row r="23" spans="1:12">
      <c r="A23" s="273"/>
      <c r="B23" s="267"/>
      <c r="C23" s="279"/>
      <c r="D23" s="267"/>
      <c r="E23" s="279"/>
      <c r="F23" s="267"/>
      <c r="G23" s="279"/>
      <c r="H23" s="267"/>
      <c r="I23" s="279"/>
      <c r="J23" s="267"/>
      <c r="K23" s="255"/>
    </row>
    <row r="24" spans="1:12">
      <c r="A24" s="273"/>
      <c r="B24" s="267"/>
      <c r="C24" s="282"/>
      <c r="D24" s="267"/>
      <c r="E24" s="282"/>
      <c r="F24" s="267"/>
      <c r="G24" s="282"/>
      <c r="H24" s="267"/>
      <c r="I24" s="276"/>
      <c r="J24" s="267"/>
      <c r="K24" s="255"/>
    </row>
    <row r="25" spans="1:12">
      <c r="A25" s="273"/>
      <c r="B25" s="267"/>
      <c r="C25" s="279"/>
      <c r="D25" s="267"/>
      <c r="E25" s="279"/>
      <c r="F25" s="267"/>
      <c r="G25" s="279"/>
      <c r="H25" s="267"/>
      <c r="I25" s="279"/>
      <c r="J25" s="267"/>
      <c r="K25" s="255"/>
    </row>
    <row r="26" spans="1:12">
      <c r="A26" s="273"/>
      <c r="B26" s="267"/>
      <c r="C26" s="279"/>
      <c r="D26" s="267"/>
      <c r="E26" s="279"/>
      <c r="F26" s="267"/>
      <c r="G26" s="279"/>
      <c r="H26" s="267"/>
      <c r="I26" s="279"/>
      <c r="J26" s="267"/>
      <c r="K26" s="255"/>
    </row>
    <row r="27" spans="1:12">
      <c r="A27" s="273"/>
      <c r="B27" s="267"/>
      <c r="C27" s="273"/>
      <c r="D27" s="267"/>
      <c r="E27" s="273"/>
      <c r="F27" s="267"/>
      <c r="G27" s="279"/>
      <c r="H27" s="267"/>
      <c r="I27" s="279"/>
      <c r="J27" s="267"/>
      <c r="K27" s="255"/>
    </row>
    <row r="28" spans="1:12">
      <c r="A28" s="270" t="s">
        <v>410</v>
      </c>
      <c r="B28" s="269">
        <f>SUM(B20:B27)</f>
        <v>0</v>
      </c>
      <c r="C28" s="270" t="s">
        <v>410</v>
      </c>
      <c r="D28" s="269">
        <f>SUM(D20:D27)</f>
        <v>0</v>
      </c>
      <c r="E28" s="270" t="s">
        <v>410</v>
      </c>
      <c r="F28" s="283">
        <f>SUM(F20:F27)</f>
        <v>0</v>
      </c>
      <c r="G28" s="270" t="s">
        <v>410</v>
      </c>
      <c r="H28" s="283">
        <f>SUM(H20:H27)</f>
        <v>0</v>
      </c>
      <c r="I28" s="270" t="s">
        <v>410</v>
      </c>
      <c r="J28" s="269">
        <f>SUM(J20:J27)</f>
        <v>0</v>
      </c>
      <c r="K28" s="269">
        <f>SUM(B28+D28+F28+H28+J28)</f>
        <v>0</v>
      </c>
    </row>
    <row r="29" spans="1:12">
      <c r="A29" s="270" t="s">
        <v>608</v>
      </c>
      <c r="B29" s="269">
        <f>SUM(B18-B28)</f>
        <v>0</v>
      </c>
      <c r="C29" s="270" t="s">
        <v>608</v>
      </c>
      <c r="D29" s="269">
        <f>SUM(D18-D28)</f>
        <v>0</v>
      </c>
      <c r="E29" s="270" t="s">
        <v>608</v>
      </c>
      <c r="F29" s="269">
        <f>SUM(F18-F28)</f>
        <v>0</v>
      </c>
      <c r="G29" s="270" t="s">
        <v>608</v>
      </c>
      <c r="H29" s="269">
        <f>SUM(H18-H28)</f>
        <v>0</v>
      </c>
      <c r="I29" s="270" t="s">
        <v>608</v>
      </c>
      <c r="J29" s="269">
        <f>SUM(J18-J28)</f>
        <v>0</v>
      </c>
      <c r="K29" s="284">
        <f>SUM(B29+D29+F29+H29+J29)</f>
        <v>0</v>
      </c>
      <c r="L29" s="95" t="s">
        <v>609</v>
      </c>
    </row>
    <row r="30" spans="1:12">
      <c r="A30" s="270"/>
      <c r="B30" s="320" t="str">
        <f>IF(B29&lt;0,"See Tab B","")</f>
        <v/>
      </c>
      <c r="C30" s="270"/>
      <c r="D30" s="320" t="str">
        <f>IF(D29&lt;0,"See Tab B","")</f>
        <v/>
      </c>
      <c r="E30" s="270"/>
      <c r="F30" s="320" t="str">
        <f>IF(F29&lt;0,"See Tab B","")</f>
        <v/>
      </c>
      <c r="G30" s="60"/>
      <c r="H30" s="320" t="str">
        <f>IF(H29&lt;0,"See Tab B","")</f>
        <v/>
      </c>
      <c r="I30" s="60"/>
      <c r="J30" s="320" t="str">
        <f>IF(J29&lt;0,"See Tab B","")</f>
        <v/>
      </c>
      <c r="K30" s="284">
        <f>SUM(K7+K17-K28)</f>
        <v>0</v>
      </c>
      <c r="L30" s="95" t="s">
        <v>609</v>
      </c>
    </row>
    <row r="31" spans="1:12">
      <c r="A31" s="60"/>
      <c r="B31" s="285"/>
      <c r="C31" s="60"/>
      <c r="D31" s="255"/>
      <c r="E31" s="60"/>
      <c r="F31" s="60"/>
      <c r="G31" s="286" t="s">
        <v>610</v>
      </c>
      <c r="H31" s="286"/>
      <c r="I31" s="286"/>
      <c r="J31" s="286"/>
      <c r="K31" s="60"/>
    </row>
    <row r="32" spans="1:12">
      <c r="A32" s="60"/>
      <c r="B32" s="285"/>
      <c r="C32" s="60"/>
      <c r="D32" s="60"/>
      <c r="E32" s="60"/>
      <c r="F32" s="60"/>
      <c r="G32" s="60"/>
      <c r="H32" s="60"/>
      <c r="I32" s="60"/>
      <c r="J32" s="60"/>
      <c r="K32" s="60"/>
    </row>
    <row r="33" spans="1:11">
      <c r="A33" s="60"/>
      <c r="B33" s="285"/>
      <c r="C33" s="60"/>
      <c r="D33" s="60"/>
      <c r="E33" s="287" t="s">
        <v>412</v>
      </c>
      <c r="F33" s="252"/>
      <c r="G33" s="60"/>
      <c r="H33" s="60"/>
      <c r="I33" s="60"/>
      <c r="J33" s="60"/>
      <c r="K33" s="60"/>
    </row>
    <row r="34" spans="1:11">
      <c r="B34" s="288"/>
    </row>
    <row r="35" spans="1:11">
      <c r="B35" s="288"/>
    </row>
    <row r="36" spans="1:11">
      <c r="B36" s="288"/>
    </row>
    <row r="37" spans="1:11">
      <c r="B37" s="288"/>
    </row>
    <row r="38" spans="1:11">
      <c r="B38" s="288"/>
    </row>
    <row r="39" spans="1:11">
      <c r="B39" s="288"/>
    </row>
    <row r="40" spans="1:11">
      <c r="B40" s="288"/>
    </row>
    <row r="41" spans="1:11">
      <c r="B41" s="288"/>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6.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61" customWidth="1"/>
    <col min="2" max="16384" width="8.88671875" style="61"/>
  </cols>
  <sheetData>
    <row r="1" spans="1:1" ht="18.75">
      <c r="A1" s="316" t="s">
        <v>655</v>
      </c>
    </row>
    <row r="2" spans="1:1" ht="15.75">
      <c r="A2" s="95"/>
    </row>
    <row r="3" spans="1:1" ht="15.75">
      <c r="A3" s="95"/>
    </row>
    <row r="4" spans="1:1" ht="56.25" customHeight="1">
      <c r="A4" s="317" t="s">
        <v>656</v>
      </c>
    </row>
    <row r="5" spans="1:1" ht="15.75">
      <c r="A5" s="318"/>
    </row>
    <row r="6" spans="1:1" ht="15.75">
      <c r="A6" s="95"/>
    </row>
    <row r="7" spans="1:1" ht="50.25" customHeight="1">
      <c r="A7" s="317" t="s">
        <v>657</v>
      </c>
    </row>
    <row r="8" spans="1:1" ht="15.75">
      <c r="A8" s="95"/>
    </row>
    <row r="9" spans="1:1" ht="15.75">
      <c r="A9" s="95"/>
    </row>
    <row r="10" spans="1:1" ht="52.5" customHeight="1">
      <c r="A10" s="317" t="s">
        <v>658</v>
      </c>
    </row>
    <row r="11" spans="1:1" ht="15.75">
      <c r="A11" s="95"/>
    </row>
    <row r="12" spans="1:1" ht="15.75">
      <c r="A12" s="95"/>
    </row>
    <row r="13" spans="1:1" ht="52.5" customHeight="1">
      <c r="A13" s="317" t="s">
        <v>659</v>
      </c>
    </row>
    <row r="14" spans="1:1" ht="15.75">
      <c r="A14" s="318"/>
    </row>
    <row r="15" spans="1:1" ht="15.75">
      <c r="A15" s="318"/>
    </row>
    <row r="16" spans="1:1" ht="51" customHeight="1">
      <c r="A16" s="468" t="s">
        <v>192</v>
      </c>
    </row>
    <row r="17" spans="1:1" ht="15.75">
      <c r="A17" s="318"/>
    </row>
    <row r="18" spans="1:1" ht="15.75">
      <c r="A18" s="318"/>
    </row>
    <row r="19" spans="1:1" ht="37.5" customHeight="1">
      <c r="A19" s="317" t="s">
        <v>660</v>
      </c>
    </row>
    <row r="20" spans="1:1" ht="15.75">
      <c r="A20" s="95"/>
    </row>
    <row r="21" spans="1:1" ht="15.75">
      <c r="A21" s="95"/>
    </row>
    <row r="22" spans="1:1" ht="47.25">
      <c r="A22" s="317" t="s">
        <v>661</v>
      </c>
    </row>
    <row r="23" spans="1:1" ht="15.75">
      <c r="A23" s="318"/>
    </row>
    <row r="24" spans="1:1" ht="15.75">
      <c r="A24" s="95"/>
    </row>
    <row r="25" spans="1:1" ht="67.5" customHeight="1">
      <c r="A25" s="317" t="s">
        <v>662</v>
      </c>
    </row>
    <row r="26" spans="1:1" ht="68.25" customHeight="1">
      <c r="A26" s="319" t="s">
        <v>663</v>
      </c>
    </row>
    <row r="27" spans="1:1" ht="15.75">
      <c r="A27" s="95"/>
    </row>
    <row r="28" spans="1:1" ht="15.75">
      <c r="A28" s="95"/>
    </row>
    <row r="29" spans="1:1" ht="51" customHeight="1">
      <c r="A29" s="469" t="s">
        <v>193</v>
      </c>
    </row>
    <row r="30" spans="1:1" ht="15.75">
      <c r="A30" s="95"/>
    </row>
    <row r="31" spans="1:1" ht="15.75">
      <c r="A31" s="318"/>
    </row>
    <row r="32" spans="1:1" ht="69" customHeight="1">
      <c r="A32" s="469" t="s">
        <v>194</v>
      </c>
    </row>
    <row r="33" spans="1:1" ht="15.75">
      <c r="A33" s="318"/>
    </row>
    <row r="34" spans="1:1" ht="15.75">
      <c r="A34" s="318"/>
    </row>
    <row r="35" spans="1:1" ht="52.5" customHeight="1">
      <c r="A35" s="469" t="s">
        <v>195</v>
      </c>
    </row>
    <row r="36" spans="1:1" ht="15.75">
      <c r="A36" s="318"/>
    </row>
    <row r="37" spans="1:1" ht="15.75">
      <c r="A37" s="318"/>
    </row>
    <row r="38" spans="1:1" ht="59.25" customHeight="1">
      <c r="A38" s="317" t="s">
        <v>664</v>
      </c>
    </row>
    <row r="39" spans="1:1" ht="15.75">
      <c r="A39" s="95"/>
    </row>
    <row r="40" spans="1:1" ht="15.75">
      <c r="A40" s="95"/>
    </row>
    <row r="41" spans="1:1" ht="53.25" customHeight="1">
      <c r="A41" s="317" t="s">
        <v>665</v>
      </c>
    </row>
    <row r="42" spans="1:1" ht="15.75">
      <c r="A42" s="318"/>
    </row>
    <row r="43" spans="1:1" ht="15.75">
      <c r="A43" s="318"/>
    </row>
    <row r="44" spans="1:1" ht="38.25" customHeight="1">
      <c r="A44" s="317" t="s">
        <v>666</v>
      </c>
    </row>
  </sheetData>
  <sheetProtection sheet="1"/>
  <phoneticPr fontId="0"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M53"/>
  <sheetViews>
    <sheetView tabSelected="1" workbookViewId="0">
      <selection activeCell="H22" sqref="H22"/>
    </sheetView>
  </sheetViews>
  <sheetFormatPr defaultRowHeight="15.75"/>
  <cols>
    <col min="1" max="1" width="15.77734375" style="95" customWidth="1"/>
    <col min="2" max="2" width="12.77734375" style="95" customWidth="1"/>
    <col min="3" max="3" width="8.77734375" style="95" customWidth="1"/>
    <col min="4" max="4" width="12.77734375" style="95" customWidth="1"/>
    <col min="5" max="5" width="9.21875" style="95" customWidth="1"/>
    <col min="6" max="6" width="12.77734375" style="95" customWidth="1"/>
    <col min="7" max="7" width="10.77734375" style="95" customWidth="1"/>
    <col min="8" max="8" width="8.77734375" style="95" customWidth="1"/>
    <col min="9" max="9" width="8.88671875" style="95"/>
    <col min="10" max="10" width="12.44140625" style="95" customWidth="1"/>
    <col min="11" max="11" width="12.33203125" style="95" customWidth="1"/>
    <col min="12" max="12" width="5.77734375" style="95" customWidth="1"/>
    <col min="13" max="13" width="12" style="95" customWidth="1"/>
    <col min="14" max="16384" width="8.88671875" style="95"/>
  </cols>
  <sheetData>
    <row r="1" spans="1:13">
      <c r="A1" s="643" t="s">
        <v>451</v>
      </c>
      <c r="B1" s="643"/>
      <c r="C1" s="643"/>
      <c r="D1" s="643"/>
      <c r="E1" s="643"/>
      <c r="F1" s="643"/>
      <c r="G1" s="643"/>
      <c r="H1" s="707"/>
    </row>
    <row r="2" spans="1:13">
      <c r="A2" s="18"/>
      <c r="B2" s="18"/>
      <c r="C2" s="18"/>
      <c r="D2" s="18"/>
      <c r="E2" s="18"/>
      <c r="F2" s="18"/>
      <c r="G2" s="18"/>
      <c r="H2" s="18"/>
    </row>
    <row r="3" spans="1:13">
      <c r="A3" s="672" t="s">
        <v>478</v>
      </c>
      <c r="B3" s="672"/>
      <c r="C3" s="672"/>
      <c r="D3" s="672"/>
      <c r="E3" s="672"/>
      <c r="F3" s="672"/>
      <c r="G3" s="672"/>
      <c r="H3" s="672"/>
      <c r="I3" s="52">
        <f ca="1">inputPrYr!D6</f>
        <v>2014</v>
      </c>
    </row>
    <row r="4" spans="1:13">
      <c r="A4" s="641" t="str">
        <f ca="1">inputPrYr!D3</f>
        <v>Crowm Hill Cemetery</v>
      </c>
      <c r="B4" s="641"/>
      <c r="C4" s="641"/>
      <c r="D4" s="641"/>
      <c r="E4" s="641"/>
      <c r="F4" s="641"/>
      <c r="G4" s="641"/>
      <c r="H4" s="641"/>
    </row>
    <row r="5" spans="1:13">
      <c r="A5" s="710" t="str">
        <f ca="1">inputPrYr!D4</f>
        <v xml:space="preserve">Comanche County </v>
      </c>
      <c r="B5" s="710"/>
      <c r="C5" s="710"/>
      <c r="D5" s="710"/>
      <c r="E5" s="710"/>
      <c r="F5" s="710"/>
      <c r="G5" s="710"/>
      <c r="H5" s="710"/>
    </row>
    <row r="6" spans="1:13">
      <c r="A6" s="661" t="str">
        <f ca="1">CONCATENATE("will meet on ",inputBudSum!B7," at ",inputBudSum!B9," at ",inputBudSum!B11," for the purpose of hearing and")</f>
        <v>will meet on  at 1:00 p.m. at Commissioner's Room for the purpose of hearing and</v>
      </c>
      <c r="B6" s="661"/>
      <c r="C6" s="661"/>
      <c r="D6" s="661"/>
      <c r="E6" s="661"/>
      <c r="F6" s="661"/>
      <c r="G6" s="661"/>
      <c r="H6" s="661"/>
    </row>
    <row r="7" spans="1:13">
      <c r="A7" s="97" t="s">
        <v>697</v>
      </c>
      <c r="B7" s="24"/>
      <c r="C7" s="24"/>
      <c r="D7" s="24"/>
      <c r="E7" s="24"/>
      <c r="F7" s="24"/>
      <c r="G7" s="24"/>
      <c r="H7" s="24"/>
    </row>
    <row r="8" spans="1:13">
      <c r="A8" s="97" t="str">
        <f ca="1">CONCATENATE("Detailed budget information is available at ",inputBudSum!B14," and will be available at this hearing.")</f>
        <v>Detailed budget information is available at Riachard Beeley's Residence  and will be available at this hearing.</v>
      </c>
      <c r="B8" s="24"/>
      <c r="C8" s="24"/>
      <c r="D8" s="24"/>
      <c r="E8" s="24"/>
      <c r="F8" s="24"/>
      <c r="G8" s="24"/>
      <c r="H8" s="24"/>
    </row>
    <row r="9" spans="1:13">
      <c r="A9" s="23" t="s">
        <v>452</v>
      </c>
      <c r="B9" s="24"/>
      <c r="C9" s="24"/>
      <c r="D9" s="24"/>
      <c r="E9" s="24"/>
      <c r="F9" s="24"/>
      <c r="G9" s="24"/>
      <c r="H9" s="24"/>
    </row>
    <row r="10" spans="1:13">
      <c r="A10" s="97" t="str">
        <f>CONCATENATE("Proposed Budget ",I3," Expenditures and Amount of ",I3-1," Ad Valorem Tax establish the maximum limits")</f>
        <v>Proposed Budget 2014 Expenditures and Amount of 2013 Ad Valorem Tax establish the maximum limits</v>
      </c>
      <c r="B10" s="24"/>
      <c r="C10" s="24"/>
      <c r="D10" s="24"/>
      <c r="E10" s="24"/>
      <c r="F10" s="24"/>
      <c r="G10" s="24"/>
      <c r="H10" s="24"/>
    </row>
    <row r="11" spans="1:13">
      <c r="A11" s="97" t="str">
        <f>CONCATENATE("of the ",I3," budget.  Estimated Tax Rate is subject to change depending on the final assessed valuation.")</f>
        <v>of the 2014 budget.  Estimated Tax Rate is subject to change depending on the final assessed valuation.</v>
      </c>
      <c r="B11" s="24"/>
      <c r="C11" s="24"/>
      <c r="D11" s="24"/>
      <c r="E11" s="24"/>
      <c r="F11" s="24"/>
      <c r="G11" s="24"/>
      <c r="H11" s="24"/>
    </row>
    <row r="12" spans="1:13">
      <c r="A12" s="18"/>
      <c r="B12" s="99"/>
      <c r="C12" s="99"/>
      <c r="D12" s="99"/>
      <c r="E12" s="99"/>
      <c r="F12" s="99"/>
      <c r="G12" s="99"/>
      <c r="H12" s="99"/>
      <c r="J12" s="699" t="str">
        <f>CONCATENATE("Estimated Value Of One Mill For ",I3,"")</f>
        <v>Estimated Value Of One Mill For 2014</v>
      </c>
      <c r="K12" s="700"/>
      <c r="L12" s="700"/>
      <c r="M12" s="701"/>
    </row>
    <row r="13" spans="1:13">
      <c r="A13" s="212"/>
      <c r="B13" s="289" t="str">
        <f>CONCATENATE("Prior Year Actual ",I3-2,"")</f>
        <v>Prior Year Actual 2012</v>
      </c>
      <c r="C13" s="290"/>
      <c r="D13" s="291" t="str">
        <f>CONCATENATE("Current Year Estimate for ",I3-1,"")</f>
        <v>Current Year Estimate for 2013</v>
      </c>
      <c r="E13" s="290"/>
      <c r="F13" s="289" t="str">
        <f>CONCATENATE("Proposed Budget Year for ",I3,"")</f>
        <v>Proposed Budget Year for 2014</v>
      </c>
      <c r="G13" s="292"/>
      <c r="H13" s="290"/>
      <c r="J13" s="497"/>
      <c r="K13" s="498"/>
      <c r="L13" s="498"/>
      <c r="M13" s="499"/>
    </row>
    <row r="14" spans="1:13">
      <c r="A14" s="215"/>
      <c r="B14" s="105"/>
      <c r="C14" s="293" t="s">
        <v>419</v>
      </c>
      <c r="D14" s="105"/>
      <c r="E14" s="293" t="s">
        <v>419</v>
      </c>
      <c r="F14" s="215" t="s">
        <v>580</v>
      </c>
      <c r="G14" s="708" t="str">
        <f>CONCATENATE("Amount of ",I3-1," Ad Valorem Tax")</f>
        <v>Amount of 2013 Ad Valorem Tax</v>
      </c>
      <c r="H14" s="293" t="s">
        <v>107</v>
      </c>
      <c r="J14" s="500" t="s">
        <v>208</v>
      </c>
      <c r="K14" s="501"/>
      <c r="L14" s="501"/>
      <c r="M14" s="502">
        <f>ROUND(F27/1000,0)</f>
        <v>45044</v>
      </c>
    </row>
    <row r="15" spans="1:13">
      <c r="A15" s="169" t="s">
        <v>420</v>
      </c>
      <c r="B15" s="114" t="s">
        <v>421</v>
      </c>
      <c r="C15" s="294" t="s">
        <v>565</v>
      </c>
      <c r="D15" s="114" t="s">
        <v>421</v>
      </c>
      <c r="E15" s="294" t="s">
        <v>565</v>
      </c>
      <c r="F15" s="114" t="s">
        <v>102</v>
      </c>
      <c r="G15" s="709"/>
      <c r="H15" s="294" t="s">
        <v>565</v>
      </c>
      <c r="J15" s="16"/>
      <c r="K15" s="16"/>
      <c r="L15" s="16"/>
      <c r="M15" s="16"/>
    </row>
    <row r="16" spans="1:13">
      <c r="A16" s="36" t="str">
        <f ca="1">inputPrYr!B19</f>
        <v>General</v>
      </c>
      <c r="B16" s="123">
        <f ca="1">IF(gen!$C$61&lt;&gt;0,gen!$C$61,"  ")</f>
        <v>39838.75</v>
      </c>
      <c r="C16" s="622">
        <f ca="1">IF(inputPrYr!D38&gt;0,inputPrYr!D38,"  ")</f>
        <v>0.89700000000000002</v>
      </c>
      <c r="D16" s="560">
        <f ca="1">IF(gen!$D$61&lt;&gt;0,gen!$D$61,"  ")</f>
        <v>47562</v>
      </c>
      <c r="E16" s="625">
        <f ca="1">IF(inputOth!D16&gt;0,inputOth!D16,"  ")</f>
        <v>1.204</v>
      </c>
      <c r="F16" s="560">
        <f ca="1">IF(gen!$E$61&lt;&gt;0,gen!$E$61,"  ")</f>
        <v>47562</v>
      </c>
      <c r="G16" s="243">
        <f ca="1">IF(gen!$E$68&lt;&gt;0,gen!$E$68,"  ")</f>
        <v>37325.489999999991</v>
      </c>
      <c r="H16" s="622">
        <f ca="1">IF(gen!E68&gt;0,ROUND(G16/$F$27*1000,3)," ")</f>
        <v>0.82899999999999996</v>
      </c>
      <c r="J16" s="699" t="str">
        <f>CONCATENATE("Want The Mill Rate The Same As For ",I3-1,"?")</f>
        <v>Want The Mill Rate The Same As For 2013?</v>
      </c>
      <c r="K16" s="702"/>
      <c r="L16" s="702"/>
      <c r="M16" s="703"/>
    </row>
    <row r="17" spans="1:13">
      <c r="A17" s="36" t="s">
        <v>639</v>
      </c>
      <c r="B17" s="123" t="str">
        <f ca="1">IF(DebtService!$C$53&lt;&gt;0,DebtService!$C$53,"  ")</f>
        <v xml:space="preserve">  </v>
      </c>
      <c r="C17" s="622" t="str">
        <f ca="1">IF(inputPrYr!D39&gt;0,inputPrYr!D39,"  ")</f>
        <v xml:space="preserve">  </v>
      </c>
      <c r="D17" s="560" t="str">
        <f ca="1">IF(DebtService!$D$53&lt;&gt;0,DebtService!$D$53,"  ")</f>
        <v xml:space="preserve">  </v>
      </c>
      <c r="E17" s="625" t="str">
        <f ca="1">IF(inputOth!D17&gt;0,inputOth!D17,"  ")</f>
        <v xml:space="preserve">  </v>
      </c>
      <c r="F17" s="560" t="str">
        <f ca="1">IF(DebtService!$E$53&lt;&gt;0,DebtService!$E$53,"  ")</f>
        <v xml:space="preserve">  </v>
      </c>
      <c r="G17" s="243" t="str">
        <f ca="1">IF(DebtService!$E$60&lt;&gt;0,DebtService!$E$60,"  ")</f>
        <v xml:space="preserve">  </v>
      </c>
      <c r="H17" s="622" t="str">
        <f ca="1">IF(DebtService!E60&gt;0,ROUND(G17/$F$27*1000,3)," ")</f>
        <v xml:space="preserve"> </v>
      </c>
      <c r="J17" s="503"/>
      <c r="K17" s="498"/>
      <c r="L17" s="498"/>
      <c r="M17" s="504"/>
    </row>
    <row r="18" spans="1:13">
      <c r="A18" s="36" t="str">
        <f ca="1">IF(inputPrYr!$B22&gt;"  ",inputPrYr!$B22,"  ")</f>
        <v xml:space="preserve">  </v>
      </c>
      <c r="B18" s="123" t="str">
        <f ca="1">IF(levypage8!$C$33&lt;&gt;0,levypage8!$C$33,"  ")</f>
        <v xml:space="preserve">  </v>
      </c>
      <c r="C18" s="622" t="str">
        <f ca="1">IF(inputPrYr!D40&gt;0,inputPrYr!D40,"  ")</f>
        <v xml:space="preserve">  </v>
      </c>
      <c r="D18" s="560" t="str">
        <f ca="1">IF(levypage8!$D$33&lt;&gt;0,levypage8!$D$33,"  ")</f>
        <v xml:space="preserve">  </v>
      </c>
      <c r="E18" s="625" t="str">
        <f ca="1">IF(inputOth!D18&gt;0,inputOth!D18,"  ")</f>
        <v xml:space="preserve">  </v>
      </c>
      <c r="F18" s="560" t="str">
        <f ca="1">IF(levypage8!$E$33&lt;&gt;0,levypage8!$E$33,"  ")</f>
        <v xml:space="preserve">  </v>
      </c>
      <c r="G18" s="243" t="str">
        <f ca="1">IF(levypage8!$E$40&lt;&gt;0,levypage8!$E$40,"  ")</f>
        <v xml:space="preserve">  </v>
      </c>
      <c r="H18" s="622" t="str">
        <f ca="1">IF(levypage8!E40&gt;0,ROUND(G18/$F$27*1000,3)," ")</f>
        <v xml:space="preserve"> </v>
      </c>
      <c r="J18" s="503" t="str">
        <f>CONCATENATE("",I3-1," Mill Rate Was:")</f>
        <v>2013 Mill Rate Was:</v>
      </c>
      <c r="K18" s="498"/>
      <c r="L18" s="498"/>
      <c r="M18" s="505">
        <f>E23</f>
        <v>1.204</v>
      </c>
    </row>
    <row r="19" spans="1:13">
      <c r="A19" s="36" t="str">
        <f ca="1">IF(inputPrYr!$B23&gt;"  ",inputPrYr!$B23,"  ")</f>
        <v xml:space="preserve">  </v>
      </c>
      <c r="B19" s="123" t="str">
        <f ca="1">IF(levypage8!$C$71&lt;&gt;0,levypage8!$C$71,"  ")</f>
        <v xml:space="preserve">  </v>
      </c>
      <c r="C19" s="622" t="str">
        <f ca="1">IF(inputPrYr!D41&gt;0,inputPrYr!D41,"  ")</f>
        <v xml:space="preserve">  </v>
      </c>
      <c r="D19" s="560" t="str">
        <f ca="1">IF(levypage8!$D$71&lt;&gt;0,levypage8!$D$71,"  ")</f>
        <v xml:space="preserve">  </v>
      </c>
      <c r="E19" s="625" t="str">
        <f ca="1">IF(inputOth!D19&gt;0,inputOth!D19,"  ")</f>
        <v xml:space="preserve">  </v>
      </c>
      <c r="F19" s="560" t="str">
        <f ca="1">IF(levypage8!$E$71&lt;&gt;0,levypage8!$E$71,"  ")</f>
        <v xml:space="preserve">  </v>
      </c>
      <c r="G19" s="243" t="str">
        <f ca="1">IF(levypage8!$E$78&lt;&gt;0,levypage8!$E$78,"  ")</f>
        <v xml:space="preserve">  </v>
      </c>
      <c r="H19" s="622" t="str">
        <f ca="1">IF(levypage8!E78&gt;0,ROUND(G19/$F$27*1000,3)," ")</f>
        <v xml:space="preserve"> </v>
      </c>
      <c r="J19" s="506" t="str">
        <f>CONCATENATE("",I3," Tax Levy Fund Expenditures Must Be")</f>
        <v>2014 Tax Levy Fund Expenditures Must Be</v>
      </c>
      <c r="K19" s="507"/>
      <c r="L19" s="507"/>
      <c r="M19" s="504"/>
    </row>
    <row r="20" spans="1:13">
      <c r="A20" s="36" t="str">
        <f ca="1">IF(inputPrYr!$B26&gt;"  ",inputPrYr!$B26,"  ")</f>
        <v xml:space="preserve">  </v>
      </c>
      <c r="B20" s="123" t="str">
        <f ca="1">IF(nolevypage9!$C$31&lt;&gt;0,nolevypage9!$C$31,"  ")</f>
        <v xml:space="preserve">  </v>
      </c>
      <c r="C20" s="622"/>
      <c r="D20" s="560" t="str">
        <f ca="1">IF(nolevypage9!$D$31&lt;&gt;0,nolevypage9!$D$31,"  ")</f>
        <v xml:space="preserve">  </v>
      </c>
      <c r="E20" s="625"/>
      <c r="F20" s="560" t="str">
        <f ca="1">IF(nolevypage9!$E$31&lt;&gt;0,nolevypage9!$E$31,"  ")</f>
        <v xml:space="preserve">  </v>
      </c>
      <c r="G20" s="243"/>
      <c r="H20" s="622"/>
      <c r="J20" s="506" t="str">
        <f>IF(M20&gt;0,"Increased By:","")</f>
        <v>Increased By:</v>
      </c>
      <c r="K20" s="507"/>
      <c r="L20" s="507"/>
      <c r="M20" s="508">
        <f>IF(M27&lt;0,M27*-1,0)</f>
        <v>16907.510000000009</v>
      </c>
    </row>
    <row r="21" spans="1:13">
      <c r="A21" s="36" t="str">
        <f ca="1">IF(inputPrYr!$B27&gt;"  ",inputPrYr!$B27,"  ")</f>
        <v xml:space="preserve">  </v>
      </c>
      <c r="B21" s="123" t="str">
        <f ca="1">IF(nolevypage9!$C$64&lt;&gt;0,nolevypage9!$C$64,"  ")</f>
        <v xml:space="preserve">  </v>
      </c>
      <c r="C21" s="622"/>
      <c r="D21" s="560" t="str">
        <f ca="1">IF(nolevypage9!$D$64&lt;&gt;0,nolevypage9!$D$64,"  ")</f>
        <v xml:space="preserve">  </v>
      </c>
      <c r="E21" s="625"/>
      <c r="F21" s="560" t="str">
        <f ca="1">IF(nolevypage9!$E$64&lt;&gt;0,nolevypage9!$E$64,"  ")</f>
        <v xml:space="preserve">  </v>
      </c>
      <c r="G21" s="243"/>
      <c r="H21" s="622"/>
      <c r="J21" s="509" t="str">
        <f>IF(M21&lt;0,"Reduced By:","")</f>
        <v/>
      </c>
      <c r="K21" s="471"/>
      <c r="L21" s="471"/>
      <c r="M21" s="510">
        <f>IF(M27&gt;0,M27*-1,0)</f>
        <v>0</v>
      </c>
    </row>
    <row r="22" spans="1:13" ht="16.5" thickBot="1">
      <c r="A22" s="124" t="str">
        <f ca="1">IF((inputPrYr!$B$30&gt;" "),(NonBud!$A$3),"")</f>
        <v/>
      </c>
      <c r="B22" s="485" t="str">
        <f ca="1">IF(NonBud!K28&gt;0,NonBud!K28,"")</f>
        <v/>
      </c>
      <c r="C22" s="623"/>
      <c r="D22" s="621"/>
      <c r="E22" s="626"/>
      <c r="F22" s="621"/>
      <c r="G22" s="628"/>
      <c r="H22" s="623"/>
      <c r="J22" s="511"/>
      <c r="K22" s="511"/>
      <c r="L22" s="511"/>
      <c r="M22" s="511"/>
    </row>
    <row r="23" spans="1:13">
      <c r="A23" s="33" t="s">
        <v>502</v>
      </c>
      <c r="B23" s="619">
        <f>SUM(B16:B22)</f>
        <v>39838.75</v>
      </c>
      <c r="C23" s="624">
        <f t="shared" ref="C23:H23" si="0">SUM(C16:C21)</f>
        <v>0.89700000000000002</v>
      </c>
      <c r="D23" s="619">
        <f t="shared" si="0"/>
        <v>47562</v>
      </c>
      <c r="E23" s="627">
        <f t="shared" si="0"/>
        <v>1.204</v>
      </c>
      <c r="F23" s="619">
        <f t="shared" si="0"/>
        <v>47562</v>
      </c>
      <c r="G23" s="619">
        <f t="shared" si="0"/>
        <v>37325.489999999991</v>
      </c>
      <c r="H23" s="627">
        <f t="shared" si="0"/>
        <v>0.82899999999999996</v>
      </c>
      <c r="J23" s="699" t="str">
        <f>CONCATENATE("Impact On Keeping The Same Mill Rate As For ",I3-1,"")</f>
        <v>Impact On Keeping The Same Mill Rate As For 2013</v>
      </c>
      <c r="K23" s="704"/>
      <c r="L23" s="704"/>
      <c r="M23" s="705"/>
    </row>
    <row r="24" spans="1:13">
      <c r="A24" s="33" t="s">
        <v>536</v>
      </c>
      <c r="B24" s="42">
        <f ca="1">transfers!C26</f>
        <v>0</v>
      </c>
      <c r="C24" s="126"/>
      <c r="D24" s="42">
        <f ca="1">transfers!D26</f>
        <v>0</v>
      </c>
      <c r="E24" s="126"/>
      <c r="F24" s="620">
        <f ca="1">transfers!E26</f>
        <v>0</v>
      </c>
      <c r="G24" s="238"/>
      <c r="H24" s="295"/>
      <c r="J24" s="503"/>
      <c r="K24" s="498"/>
      <c r="L24" s="498"/>
      <c r="M24" s="504"/>
    </row>
    <row r="25" spans="1:13" ht="16.5" thickBot="1">
      <c r="A25" s="33" t="s">
        <v>537</v>
      </c>
      <c r="B25" s="129">
        <f>SUM(B23-B24)</f>
        <v>39838.75</v>
      </c>
      <c r="C25" s="296"/>
      <c r="D25" s="129">
        <f>SUM(D23-D24)</f>
        <v>47562</v>
      </c>
      <c r="E25" s="296"/>
      <c r="F25" s="484">
        <f>SUM(F23-F24)</f>
        <v>47562</v>
      </c>
      <c r="G25" s="238"/>
      <c r="H25" s="295"/>
      <c r="J25" s="503" t="str">
        <f>CONCATENATE("",I3," Ad Valorem Tax Revenue:")</f>
        <v>2014 Ad Valorem Tax Revenue:</v>
      </c>
      <c r="K25" s="498"/>
      <c r="L25" s="498"/>
      <c r="M25" s="499">
        <f>G23</f>
        <v>37325.489999999991</v>
      </c>
    </row>
    <row r="26" spans="1:13" ht="16.5" thickTop="1">
      <c r="A26" s="33" t="s">
        <v>422</v>
      </c>
      <c r="B26" s="619">
        <f ca="1">inputPrYr!E44</f>
        <v>45482</v>
      </c>
      <c r="C26" s="215"/>
      <c r="D26" s="619">
        <f ca="1">inputPrYr!E24</f>
        <v>36193</v>
      </c>
      <c r="E26" s="215"/>
      <c r="F26" s="83" t="s">
        <v>542</v>
      </c>
      <c r="G26" s="18"/>
      <c r="H26" s="18"/>
      <c r="J26" s="503" t="str">
        <f>CONCATENATE("",I3-1," Ad Valorem Tax Revenue:")</f>
        <v>2013 Ad Valorem Tax Revenue:</v>
      </c>
      <c r="K26" s="498"/>
      <c r="L26" s="498"/>
      <c r="M26" s="512">
        <f>ROUND(F27*M18/1000,0)</f>
        <v>54233</v>
      </c>
    </row>
    <row r="27" spans="1:13">
      <c r="A27" s="33" t="s">
        <v>538</v>
      </c>
      <c r="B27" s="42">
        <f ca="1">inputPrYr!E45</f>
        <v>32075459</v>
      </c>
      <c r="C27" s="215"/>
      <c r="D27" s="42">
        <f ca="1">inputOth!E24</f>
        <v>30065504</v>
      </c>
      <c r="E27" s="215"/>
      <c r="F27" s="42">
        <f ca="1">inputOth!E7</f>
        <v>45043731</v>
      </c>
      <c r="G27" s="18"/>
      <c r="H27" s="18"/>
      <c r="J27" s="513" t="s">
        <v>209</v>
      </c>
      <c r="K27" s="514"/>
      <c r="L27" s="514"/>
      <c r="M27" s="502">
        <f>M25-M26</f>
        <v>-16907.510000000009</v>
      </c>
    </row>
    <row r="28" spans="1:13">
      <c r="A28" s="20"/>
      <c r="B28" s="238"/>
      <c r="C28" s="69"/>
      <c r="D28" s="238"/>
      <c r="E28" s="69"/>
      <c r="F28" s="238"/>
      <c r="G28" s="18"/>
      <c r="H28" s="18"/>
      <c r="J28" s="515"/>
      <c r="K28" s="515"/>
      <c r="L28" s="515"/>
      <c r="M28" s="511"/>
    </row>
    <row r="29" spans="1:13">
      <c r="A29" s="17" t="s">
        <v>423</v>
      </c>
      <c r="B29" s="18"/>
      <c r="C29" s="18"/>
      <c r="D29" s="18"/>
      <c r="E29" s="18"/>
      <c r="F29" s="18"/>
      <c r="G29" s="18"/>
      <c r="H29" s="18"/>
      <c r="J29" s="699" t="s">
        <v>210</v>
      </c>
      <c r="K29" s="702"/>
      <c r="L29" s="702"/>
      <c r="M29" s="703"/>
    </row>
    <row r="30" spans="1:13">
      <c r="A30" s="17" t="s">
        <v>535</v>
      </c>
      <c r="B30" s="98">
        <f>I3-3</f>
        <v>2011</v>
      </c>
      <c r="C30" s="18"/>
      <c r="D30" s="98">
        <f>I3-2</f>
        <v>2012</v>
      </c>
      <c r="E30" s="18"/>
      <c r="F30" s="98">
        <f>I3-1</f>
        <v>2013</v>
      </c>
      <c r="G30" s="18"/>
      <c r="H30" s="18"/>
      <c r="J30" s="503"/>
      <c r="K30" s="498"/>
      <c r="L30" s="498"/>
      <c r="M30" s="504"/>
    </row>
    <row r="31" spans="1:13">
      <c r="A31" s="17" t="s">
        <v>424</v>
      </c>
      <c r="B31" s="297">
        <f ca="1">inputPrYr!D48</f>
        <v>0</v>
      </c>
      <c r="C31" s="156"/>
      <c r="D31" s="297">
        <f ca="1">inputPrYr!E48</f>
        <v>0</v>
      </c>
      <c r="E31" s="18"/>
      <c r="F31" s="297">
        <f ca="1">debt!F12</f>
        <v>0</v>
      </c>
      <c r="G31" s="18"/>
      <c r="H31" s="52"/>
      <c r="J31" s="503" t="str">
        <f>CONCATENATE("Current ",I3," Estimated Mill Rate:")</f>
        <v>Current 2014 Estimated Mill Rate:</v>
      </c>
      <c r="K31" s="498"/>
      <c r="L31" s="498"/>
      <c r="M31" s="505">
        <f>H23</f>
        <v>0.82899999999999996</v>
      </c>
    </row>
    <row r="32" spans="1:13">
      <c r="A32" s="18" t="s">
        <v>425</v>
      </c>
      <c r="B32" s="297">
        <f ca="1">inputPrYr!D49</f>
        <v>0</v>
      </c>
      <c r="C32" s="18"/>
      <c r="D32" s="297">
        <f ca="1">inputPrYr!E49</f>
        <v>0</v>
      </c>
      <c r="E32" s="18"/>
      <c r="F32" s="297">
        <f ca="1">debt!F16</f>
        <v>0</v>
      </c>
      <c r="G32" s="18"/>
      <c r="H32" s="52"/>
      <c r="J32" s="503" t="str">
        <f>CONCATENATE("Desired ",I3," Mill Rate:")</f>
        <v>Desired 2014 Mill Rate:</v>
      </c>
      <c r="K32" s="498"/>
      <c r="L32" s="498"/>
      <c r="M32" s="516">
        <v>0</v>
      </c>
    </row>
    <row r="33" spans="1:13">
      <c r="A33" s="17" t="s">
        <v>204</v>
      </c>
      <c r="B33" s="297">
        <f ca="1">inputPrYr!D50</f>
        <v>0</v>
      </c>
      <c r="C33" s="156"/>
      <c r="D33" s="297">
        <f ca="1">inputPrYr!E50</f>
        <v>0</v>
      </c>
      <c r="E33" s="18"/>
      <c r="F33" s="297">
        <f ca="1">debt!F20</f>
        <v>0</v>
      </c>
      <c r="G33" s="18"/>
      <c r="H33" s="52"/>
      <c r="J33" s="503" t="str">
        <f>CONCATENATE("",I3," Ad Valorem Tax:")</f>
        <v>2014 Ad Valorem Tax:</v>
      </c>
      <c r="K33" s="498"/>
      <c r="L33" s="498"/>
      <c r="M33" s="512">
        <f>ROUND(F27*M32/1000,0)</f>
        <v>0</v>
      </c>
    </row>
    <row r="34" spans="1:13">
      <c r="A34" s="17" t="s">
        <v>503</v>
      </c>
      <c r="B34" s="297">
        <f ca="1">inputPrYr!D51</f>
        <v>0</v>
      </c>
      <c r="C34" s="18"/>
      <c r="D34" s="297">
        <f ca="1">inputPrYr!E51</f>
        <v>0</v>
      </c>
      <c r="E34" s="18"/>
      <c r="F34" s="297">
        <f ca="1">debt!G41</f>
        <v>0</v>
      </c>
      <c r="G34" s="18"/>
      <c r="H34" s="52"/>
      <c r="J34" s="513" t="str">
        <f>CONCATENATE("",I3," Tax Levy Fund Exp. Changed By:")</f>
        <v>2014 Tax Levy Fund Exp. Changed By:</v>
      </c>
      <c r="K34" s="514"/>
      <c r="L34" s="514"/>
      <c r="M34" s="502">
        <f>IF(M32=0,0,(M33-G23))</f>
        <v>0</v>
      </c>
    </row>
    <row r="35" spans="1:13" ht="16.5" thickBot="1">
      <c r="A35" s="253" t="s">
        <v>426</v>
      </c>
      <c r="B35" s="298">
        <f>SUM(B31:B34)</f>
        <v>0</v>
      </c>
      <c r="C35" s="18"/>
      <c r="D35" s="298">
        <f>SUM(D31:D34)</f>
        <v>0</v>
      </c>
      <c r="E35" s="18"/>
      <c r="F35" s="298">
        <f>SUM(F31:F34)</f>
        <v>0</v>
      </c>
      <c r="G35" s="299"/>
      <c r="H35" s="52"/>
    </row>
    <row r="36" spans="1:13" ht="16.5" thickTop="1">
      <c r="A36" s="52"/>
      <c r="B36" s="18"/>
      <c r="C36" s="18"/>
      <c r="D36" s="18"/>
      <c r="E36" s="18"/>
      <c r="F36" s="18"/>
      <c r="G36" s="18"/>
      <c r="H36" s="52"/>
    </row>
    <row r="37" spans="1:13">
      <c r="A37" s="253" t="s">
        <v>427</v>
      </c>
      <c r="B37" s="18"/>
      <c r="C37" s="18"/>
      <c r="D37" s="18"/>
      <c r="E37" s="222"/>
      <c r="F37" s="222"/>
      <c r="G37" s="18"/>
      <c r="H37" s="52"/>
    </row>
    <row r="38" spans="1:13">
      <c r="A38" s="52"/>
      <c r="B38" s="18"/>
      <c r="C38" s="18"/>
      <c r="D38" s="18"/>
      <c r="E38" s="18"/>
      <c r="F38" s="18"/>
      <c r="G38" s="18"/>
      <c r="H38" s="52"/>
    </row>
    <row r="39" spans="1:13">
      <c r="A39" s="60"/>
      <c r="B39" s="18"/>
      <c r="C39" s="18"/>
      <c r="D39" s="18"/>
      <c r="E39" s="18"/>
      <c r="F39" s="18"/>
      <c r="G39" s="18"/>
      <c r="H39" s="60"/>
    </row>
    <row r="40" spans="1:13">
      <c r="A40" s="706" t="str">
        <f ca="1">inputBudSum!B3</f>
        <v>Richard Beeley</v>
      </c>
      <c r="B40" s="669"/>
      <c r="C40" s="99"/>
      <c r="D40" s="18"/>
      <c r="E40" s="18"/>
      <c r="F40" s="18"/>
      <c r="G40" s="18"/>
      <c r="H40" s="52"/>
    </row>
    <row r="41" spans="1:13">
      <c r="A41" s="697">
        <f ca="1">inputBudSum!B5</f>
        <v>0</v>
      </c>
      <c r="B41" s="698"/>
      <c r="C41" s="18"/>
      <c r="D41" s="138" t="s">
        <v>412</v>
      </c>
      <c r="E41" s="486"/>
      <c r="F41" s="18"/>
      <c r="G41" s="18"/>
      <c r="H41" s="52"/>
    </row>
    <row r="43" spans="1:13">
      <c r="A43" s="16"/>
      <c r="B43" s="16"/>
      <c r="C43" s="16"/>
      <c r="D43" s="16"/>
      <c r="E43" s="16"/>
      <c r="F43" s="16"/>
      <c r="G43" s="16"/>
      <c r="H43" s="16"/>
    </row>
    <row r="45" spans="1:13">
      <c r="A45" s="16"/>
      <c r="B45" s="16"/>
      <c r="C45" s="16"/>
      <c r="D45" s="16"/>
      <c r="E45" s="16"/>
      <c r="F45" s="16"/>
      <c r="G45" s="16"/>
      <c r="H45" s="16"/>
    </row>
    <row r="46" spans="1:13">
      <c r="A46" s="16"/>
      <c r="B46" s="16"/>
      <c r="C46" s="16"/>
      <c r="D46" s="16"/>
      <c r="E46" s="16"/>
      <c r="F46" s="16"/>
      <c r="G46" s="16"/>
      <c r="H46" s="16"/>
    </row>
    <row r="47" spans="1:13">
      <c r="A47" s="16"/>
      <c r="B47" s="16"/>
      <c r="C47" s="16"/>
      <c r="D47" s="16"/>
      <c r="E47" s="16"/>
      <c r="F47" s="16"/>
      <c r="G47" s="16"/>
      <c r="H47" s="16"/>
    </row>
    <row r="48" spans="1:13">
      <c r="A48" s="16"/>
      <c r="B48" s="16"/>
      <c r="C48" s="16"/>
      <c r="D48" s="16"/>
      <c r="E48" s="16"/>
      <c r="F48" s="16"/>
      <c r="G48" s="16"/>
      <c r="H48" s="16"/>
    </row>
    <row r="49" spans="1:8">
      <c r="A49" s="16"/>
      <c r="B49" s="16"/>
      <c r="C49" s="16"/>
      <c r="D49" s="16"/>
      <c r="E49" s="16"/>
      <c r="F49" s="16"/>
      <c r="G49" s="16"/>
      <c r="H49" s="16"/>
    </row>
    <row r="50" spans="1:8">
      <c r="A50" s="16"/>
      <c r="B50" s="16"/>
      <c r="C50" s="16"/>
      <c r="D50" s="16"/>
      <c r="E50" s="16"/>
      <c r="F50" s="16"/>
      <c r="G50" s="16"/>
      <c r="H50" s="16"/>
    </row>
    <row r="51" spans="1:8">
      <c r="A51" s="16"/>
      <c r="B51" s="16"/>
      <c r="C51" s="16"/>
      <c r="D51" s="16"/>
      <c r="E51" s="16"/>
      <c r="F51" s="16"/>
      <c r="G51" s="16"/>
      <c r="H51" s="16"/>
    </row>
    <row r="52" spans="1:8">
      <c r="A52" s="16"/>
      <c r="B52" s="16"/>
      <c r="C52" s="16"/>
      <c r="D52" s="16"/>
      <c r="E52" s="16"/>
      <c r="F52" s="16"/>
      <c r="G52" s="16"/>
      <c r="H52" s="16"/>
    </row>
    <row r="53" spans="1:8">
      <c r="A53" s="16"/>
      <c r="B53" s="16"/>
      <c r="C53" s="16"/>
      <c r="D53" s="16"/>
      <c r="E53" s="16"/>
      <c r="F53" s="16"/>
      <c r="G53" s="16"/>
      <c r="H53" s="16"/>
    </row>
  </sheetData>
  <sheetProtection sheet="1"/>
  <mergeCells count="12">
    <mergeCell ref="A1:H1"/>
    <mergeCell ref="G14:G15"/>
    <mergeCell ref="A3:H3"/>
    <mergeCell ref="A4:H4"/>
    <mergeCell ref="A5:H5"/>
    <mergeCell ref="A41:B41"/>
    <mergeCell ref="J12:M12"/>
    <mergeCell ref="J16:M16"/>
    <mergeCell ref="J23:M23"/>
    <mergeCell ref="J29:M29"/>
    <mergeCell ref="A6:H6"/>
    <mergeCell ref="A40:B40"/>
  </mergeCells>
  <phoneticPr fontId="0" type="noConversion"/>
  <pageMargins left="1" right="1" top="0.5" bottom="0.5" header="0.5" footer="0.5"/>
  <pageSetup scale="64" orientation="portrait" blackAndWhite="1" horizontalDpi="120" verticalDpi="144" r:id="rId1"/>
  <headerFooter alignWithMargins="0">
    <oddHeader xml:space="preserve">&amp;RState of Kansas
Special District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A1:F35"/>
  <sheetViews>
    <sheetView topLeftCell="A4" workbookViewId="0">
      <selection activeCell="C7" sqref="C7"/>
    </sheetView>
  </sheetViews>
  <sheetFormatPr defaultRowHeight="15"/>
  <cols>
    <col min="1" max="1" width="12.6640625" style="61" customWidth="1"/>
    <col min="2" max="2" width="18.109375" style="61" customWidth="1"/>
    <col min="3" max="5" width="11.77734375" style="61" customWidth="1"/>
    <col min="6" max="16384" width="8.88671875" style="61"/>
  </cols>
  <sheetData>
    <row r="1" spans="1:6" ht="15.75">
      <c r="A1" s="300" t="str">
        <f ca="1">inputPrYr!D3</f>
        <v>Crowm Hill Cemetery</v>
      </c>
      <c r="B1" s="52"/>
      <c r="C1" s="52"/>
      <c r="D1" s="52"/>
      <c r="E1" s="52"/>
      <c r="F1" s="52">
        <f ca="1">inputPrYr!D6</f>
        <v>2014</v>
      </c>
    </row>
    <row r="2" spans="1:6" ht="15.75">
      <c r="A2" s="300"/>
      <c r="B2" s="52"/>
      <c r="C2" s="52"/>
      <c r="D2" s="52"/>
      <c r="E2" s="52"/>
      <c r="F2" s="52"/>
    </row>
    <row r="3" spans="1:6" ht="15.75">
      <c r="A3" s="52"/>
      <c r="B3" s="52"/>
      <c r="C3" s="52"/>
      <c r="D3" s="52"/>
      <c r="E3" s="52"/>
      <c r="F3" s="52"/>
    </row>
    <row r="4" spans="1:6" ht="15.75">
      <c r="A4" s="18"/>
      <c r="B4" s="660" t="str">
        <f>CONCATENATE("",F1," Neighborhood Revitalization Rebate")</f>
        <v>2014 Neighborhood Revitalization Rebate</v>
      </c>
      <c r="C4" s="713"/>
      <c r="D4" s="713"/>
      <c r="E4" s="707"/>
      <c r="F4" s="52"/>
    </row>
    <row r="5" spans="1:6" ht="15.75">
      <c r="A5" s="18"/>
      <c r="B5" s="18"/>
      <c r="C5" s="18"/>
      <c r="D5" s="18"/>
      <c r="E5" s="18"/>
      <c r="F5" s="52"/>
    </row>
    <row r="6" spans="1:6" ht="51.75" customHeight="1">
      <c r="A6" s="18"/>
      <c r="B6" s="158" t="str">
        <f>CONCATENATE("Budgeted Funds                                 for ",F1,"")</f>
        <v>Budgeted Funds                                 for 2014</v>
      </c>
      <c r="C6" s="158" t="str">
        <f>CONCATENATE("",F1-1," Ad Valorem before Rebate**")</f>
        <v>2013 Ad Valorem before Rebate**</v>
      </c>
      <c r="D6" s="301" t="str">
        <f>CONCATENATE("",F1-1," Mil Rate before Rebate")</f>
        <v>2013 Mil Rate before Rebate</v>
      </c>
      <c r="E6" s="302" t="str">
        <f>CONCATENATE("Estimate ",F1," NR Rebate")</f>
        <v>Estimate 2014 NR Rebate</v>
      </c>
      <c r="F6" s="52"/>
    </row>
    <row r="7" spans="1:6" ht="15.75">
      <c r="A7" s="18"/>
      <c r="B7" s="303" t="str">
        <f ca="1">inputPrYr!B19</f>
        <v>General</v>
      </c>
      <c r="C7" s="304"/>
      <c r="D7" s="305" t="str">
        <f t="shared" ref="D7:D12" si="0">IF(C7&gt;0,C7/$D$18,"")</f>
        <v/>
      </c>
      <c r="E7" s="120" t="str">
        <f t="shared" ref="E7:E12" si="1">IF(C7&gt;0,ROUND(D7*$D$22,0),"")</f>
        <v/>
      </c>
      <c r="F7" s="52"/>
    </row>
    <row r="8" spans="1:6" ht="15.75">
      <c r="A8" s="18"/>
      <c r="B8" s="303" t="str">
        <f ca="1">inputPrYr!B20</f>
        <v>Debt Service</v>
      </c>
      <c r="C8" s="304"/>
      <c r="D8" s="305" t="str">
        <f t="shared" si="0"/>
        <v/>
      </c>
      <c r="E8" s="120" t="str">
        <f t="shared" si="1"/>
        <v/>
      </c>
      <c r="F8" s="52"/>
    </row>
    <row r="9" spans="1:6" ht="15.75">
      <c r="A9" s="18"/>
      <c r="B9" s="123" t="str">
        <f ca="1">IF(inputPrYr!$B22&gt;"  ",(inputPrYr!$B22),"  ")</f>
        <v xml:space="preserve">  </v>
      </c>
      <c r="C9" s="304"/>
      <c r="D9" s="305" t="str">
        <f t="shared" si="0"/>
        <v/>
      </c>
      <c r="E9" s="120" t="str">
        <f t="shared" si="1"/>
        <v/>
      </c>
      <c r="F9" s="52"/>
    </row>
    <row r="10" spans="1:6" ht="15.75">
      <c r="A10" s="18"/>
      <c r="B10" s="123" t="str">
        <f ca="1">IF(inputPrYr!$B23&gt;"  ",(inputPrYr!$B23),"  ")</f>
        <v xml:space="preserve">  </v>
      </c>
      <c r="C10" s="304"/>
      <c r="D10" s="305" t="str">
        <f t="shared" si="0"/>
        <v/>
      </c>
      <c r="E10" s="120" t="str">
        <f t="shared" si="1"/>
        <v/>
      </c>
      <c r="F10" s="52"/>
    </row>
    <row r="11" spans="1:6" ht="15.75">
      <c r="A11" s="18"/>
      <c r="B11" s="123"/>
      <c r="C11" s="304"/>
      <c r="D11" s="305" t="str">
        <f t="shared" si="0"/>
        <v/>
      </c>
      <c r="E11" s="120" t="str">
        <f t="shared" si="1"/>
        <v/>
      </c>
      <c r="F11" s="52"/>
    </row>
    <row r="12" spans="1:6" ht="15.75">
      <c r="A12" s="18"/>
      <c r="B12" s="123"/>
      <c r="C12" s="304"/>
      <c r="D12" s="305" t="str">
        <f t="shared" si="0"/>
        <v/>
      </c>
      <c r="E12" s="120" t="str">
        <f t="shared" si="1"/>
        <v/>
      </c>
      <c r="F12" s="52"/>
    </row>
    <row r="13" spans="1:6" ht="16.5" thickBot="1">
      <c r="A13" s="18"/>
      <c r="B13" s="36" t="s">
        <v>578</v>
      </c>
      <c r="C13" s="306">
        <f>SUM(C7:C12)</f>
        <v>0</v>
      </c>
      <c r="D13" s="307">
        <f>SUM(D7:D12)</f>
        <v>0</v>
      </c>
      <c r="E13" s="306">
        <f>SUM(E7:E12)</f>
        <v>0</v>
      </c>
      <c r="F13" s="52"/>
    </row>
    <row r="14" spans="1:6" ht="16.5" thickTop="1">
      <c r="A14" s="18"/>
      <c r="B14" s="18"/>
      <c r="C14" s="18"/>
      <c r="D14" s="18"/>
      <c r="E14" s="18"/>
      <c r="F14" s="52"/>
    </row>
    <row r="15" spans="1:6" ht="15.75">
      <c r="A15" s="18"/>
      <c r="B15" s="18"/>
      <c r="C15" s="18"/>
      <c r="D15" s="18"/>
      <c r="E15" s="18"/>
      <c r="F15" s="52"/>
    </row>
    <row r="16" spans="1:6" ht="15.75">
      <c r="A16" s="714" t="str">
        <f>CONCATENATE("",F1-1," July 1 Valuation:")</f>
        <v>2013 July 1 Valuation:</v>
      </c>
      <c r="B16" s="712"/>
      <c r="C16" s="714"/>
      <c r="D16" s="308">
        <f ca="1">inputOth!E7</f>
        <v>45043731</v>
      </c>
      <c r="E16" s="18"/>
      <c r="F16" s="52"/>
    </row>
    <row r="17" spans="1:6" ht="15.75">
      <c r="A17" s="18"/>
      <c r="B17" s="18"/>
      <c r="C17" s="18"/>
      <c r="D17" s="18"/>
      <c r="E17" s="18"/>
      <c r="F17" s="52"/>
    </row>
    <row r="18" spans="1:6" ht="15.75">
      <c r="A18" s="18"/>
      <c r="B18" s="714" t="s">
        <v>686</v>
      </c>
      <c r="C18" s="714"/>
      <c r="D18" s="309">
        <f>IF(D16&gt;0,(D16*0.001),"")</f>
        <v>45043.731</v>
      </c>
      <c r="E18" s="18"/>
      <c r="F18" s="52"/>
    </row>
    <row r="19" spans="1:6" ht="15.75">
      <c r="A19" s="18"/>
      <c r="B19" s="138"/>
      <c r="C19" s="138"/>
      <c r="D19" s="310"/>
      <c r="E19" s="18"/>
      <c r="F19" s="52"/>
    </row>
    <row r="20" spans="1:6" ht="15.75">
      <c r="A20" s="711" t="s">
        <v>684</v>
      </c>
      <c r="B20" s="707"/>
      <c r="C20" s="707"/>
      <c r="D20" s="311" t="str">
        <f ca="1">inputOth!E12</f>
        <v>195,91</v>
      </c>
      <c r="E20" s="62"/>
      <c r="F20" s="62"/>
    </row>
    <row r="21" spans="1:6">
      <c r="A21" s="62"/>
      <c r="B21" s="62"/>
      <c r="C21" s="62"/>
      <c r="D21" s="312"/>
      <c r="E21" s="62"/>
      <c r="F21" s="62"/>
    </row>
    <row r="22" spans="1:6" ht="15.75">
      <c r="A22" s="62"/>
      <c r="B22" s="711" t="s">
        <v>685</v>
      </c>
      <c r="C22" s="712"/>
      <c r="D22" s="313" t="e">
        <f>IF(D20&gt;0,(D20*0.001),"")</f>
        <v>#VALUE!</v>
      </c>
      <c r="E22" s="62"/>
      <c r="F22" s="62"/>
    </row>
    <row r="23" spans="1:6">
      <c r="A23" s="62"/>
      <c r="B23" s="62"/>
      <c r="C23" s="62"/>
      <c r="D23" s="62"/>
      <c r="E23" s="62"/>
      <c r="F23" s="62"/>
    </row>
    <row r="24" spans="1:6">
      <c r="A24" s="62"/>
      <c r="B24" s="62"/>
      <c r="C24" s="62"/>
      <c r="D24" s="62"/>
      <c r="E24" s="62"/>
      <c r="F24" s="62"/>
    </row>
    <row r="25" spans="1:6">
      <c r="A25" s="62"/>
      <c r="B25" s="62"/>
      <c r="C25" s="62"/>
      <c r="D25" s="62"/>
      <c r="E25" s="62"/>
      <c r="F25" s="62"/>
    </row>
    <row r="26" spans="1:6" ht="15.75">
      <c r="A26" s="362" t="str">
        <f>CONCATENATE("**This information comes from the ",F1," Budget Summary page.  See instructions tab #12 for completing")</f>
        <v>**This information comes from the 2014 Budget Summary page.  See instructions tab #12 for completing</v>
      </c>
      <c r="B26" s="62"/>
      <c r="C26" s="62"/>
      <c r="D26" s="62"/>
      <c r="E26" s="62"/>
      <c r="F26" s="62"/>
    </row>
    <row r="27" spans="1:6" ht="15.75">
      <c r="A27" s="362" t="s">
        <v>89</v>
      </c>
      <c r="B27" s="62"/>
      <c r="C27" s="62"/>
      <c r="D27" s="62"/>
      <c r="E27" s="62"/>
      <c r="F27" s="62"/>
    </row>
    <row r="28" spans="1:6" ht="15.75">
      <c r="A28" s="362"/>
      <c r="B28" s="62"/>
      <c r="C28" s="62"/>
      <c r="D28" s="62"/>
      <c r="E28" s="62"/>
      <c r="F28" s="62"/>
    </row>
    <row r="29" spans="1:6" ht="15.75">
      <c r="A29" s="362"/>
      <c r="B29" s="62"/>
      <c r="C29" s="62"/>
      <c r="D29" s="62"/>
      <c r="E29" s="62"/>
      <c r="F29" s="62"/>
    </row>
    <row r="30" spans="1:6" ht="15.75">
      <c r="A30" s="362"/>
      <c r="B30" s="62"/>
      <c r="C30" s="62"/>
      <c r="D30" s="62"/>
      <c r="E30" s="62"/>
      <c r="F30" s="62"/>
    </row>
    <row r="31" spans="1:6" ht="15.75">
      <c r="A31" s="362"/>
      <c r="B31" s="62"/>
      <c r="C31" s="62"/>
      <c r="D31" s="62"/>
      <c r="E31" s="62"/>
      <c r="F31" s="62"/>
    </row>
    <row r="32" spans="1:6" ht="15.75">
      <c r="A32" s="362"/>
      <c r="B32" s="62"/>
      <c r="C32" s="62"/>
      <c r="D32" s="62"/>
      <c r="E32" s="62"/>
      <c r="F32" s="62"/>
    </row>
    <row r="33" spans="1:6" ht="15.75">
      <c r="A33" s="362"/>
      <c r="B33" s="62"/>
      <c r="C33" s="62"/>
      <c r="D33" s="62"/>
      <c r="E33" s="62"/>
      <c r="F33" s="62"/>
    </row>
    <row r="34" spans="1:6">
      <c r="A34" s="62"/>
      <c r="B34" s="62"/>
      <c r="C34" s="62"/>
      <c r="D34" s="62"/>
      <c r="E34" s="62"/>
      <c r="F34" s="62"/>
    </row>
    <row r="35" spans="1:6" ht="15.75">
      <c r="A35" s="62"/>
      <c r="B35" s="287" t="s">
        <v>412</v>
      </c>
      <c r="C35" s="252"/>
      <c r="D35" s="62"/>
      <c r="E35" s="62"/>
      <c r="F35" s="62"/>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J53"/>
  <sheetViews>
    <sheetView workbookViewId="0">
      <selection activeCell="B10" sqref="B10"/>
    </sheetView>
  </sheetViews>
  <sheetFormatPr defaultColWidth="9.77734375" defaultRowHeight="15.75"/>
  <cols>
    <col min="1" max="1" width="8.88671875" style="2" customWidth="1"/>
    <col min="2" max="16384" width="9.77734375" style="2"/>
  </cols>
  <sheetData>
    <row r="1" spans="2:10">
      <c r="B1" s="723" t="s">
        <v>508</v>
      </c>
      <c r="C1" s="723"/>
      <c r="D1" s="723"/>
      <c r="E1" s="723"/>
      <c r="F1" s="723"/>
      <c r="G1" s="723"/>
      <c r="H1" s="723"/>
    </row>
    <row r="2" spans="2:10">
      <c r="B2" s="6"/>
      <c r="C2"/>
      <c r="D2"/>
      <c r="E2"/>
      <c r="F2"/>
      <c r="G2"/>
      <c r="H2"/>
    </row>
    <row r="3" spans="2:10">
      <c r="B3" s="724" t="s">
        <v>505</v>
      </c>
      <c r="C3" s="724"/>
      <c r="D3" s="724"/>
      <c r="E3" s="724"/>
      <c r="F3" s="724"/>
      <c r="G3" s="724"/>
      <c r="H3" s="724"/>
    </row>
    <row r="4" spans="2:10">
      <c r="B4" s="7"/>
      <c r="C4"/>
      <c r="D4"/>
      <c r="E4"/>
      <c r="F4"/>
      <c r="G4"/>
      <c r="H4"/>
    </row>
    <row r="5" spans="2:10">
      <c r="B5" s="716" t="str">
        <f ca="1">CONCATENATE("A resolution expressing the property taxation policy of the Board of ",(inputPrYr!D3)," District with respect to financing the ",inputPrYr!D6," annual budget for ", (inputPrYr!D3)," , ",(inputPrYr!D4)," , Kansas.")</f>
        <v>A resolution expressing the property taxation policy of the Board of Crowm Hill Cemetery District with respect to financing the 2014 annual budget for Crowm Hill Cemetery , Comanche County  , Kansas.</v>
      </c>
      <c r="C5" s="717"/>
      <c r="D5" s="717"/>
      <c r="E5" s="717"/>
      <c r="F5" s="717"/>
      <c r="G5" s="717"/>
      <c r="H5" s="717"/>
    </row>
    <row r="6" spans="2:10">
      <c r="B6" s="717"/>
      <c r="C6" s="717"/>
      <c r="D6" s="717"/>
      <c r="E6" s="717"/>
      <c r="F6" s="717"/>
      <c r="G6" s="717"/>
      <c r="H6" s="717"/>
      <c r="J6" s="2" t="str">
        <f>CONCATENATE(J7)</f>
        <v/>
      </c>
    </row>
    <row r="7" spans="2:10">
      <c r="B7" s="11"/>
      <c r="C7"/>
      <c r="D7"/>
      <c r="E7"/>
      <c r="F7"/>
      <c r="G7"/>
      <c r="H7"/>
    </row>
    <row r="8" spans="2:10">
      <c r="B8" s="12" t="s">
        <v>543</v>
      </c>
      <c r="C8"/>
      <c r="D8"/>
      <c r="E8"/>
      <c r="F8"/>
      <c r="G8"/>
      <c r="H8"/>
    </row>
    <row r="9" spans="2:10">
      <c r="B9" s="12" t="str">
        <f ca="1">CONCATENATE("",inputPrYr!D6," ",(inputPrYr!D3), " district budget exceed the amount levied to finance the")</f>
        <v>2014 Crowm Hill Cemetery district budget exceed the amount levied to finance the</v>
      </c>
      <c r="C9"/>
      <c r="D9"/>
      <c r="E9"/>
      <c r="F9"/>
      <c r="G9"/>
      <c r="H9"/>
    </row>
    <row r="10" spans="2:10">
      <c r="B10" s="12" t="str">
        <f ca="1">CONCATENATE("",inputPrYr!D6-1," ",inputPrYr!D3," except with regard to revenue produced and attributable to the")</f>
        <v>2013 Crowm Hill Cemetery except with regard to revenue produced and attributable to the</v>
      </c>
      <c r="C10"/>
      <c r="D10"/>
      <c r="E10"/>
      <c r="F10"/>
      <c r="G10"/>
      <c r="H10"/>
    </row>
    <row r="11" spans="2:10">
      <c r="B11" s="720" t="s">
        <v>544</v>
      </c>
      <c r="C11" s="725"/>
      <c r="D11" s="725"/>
      <c r="E11" s="725"/>
      <c r="F11" s="725"/>
      <c r="G11" s="725"/>
      <c r="H11" s="725"/>
    </row>
    <row r="12" spans="2:10">
      <c r="B12" s="725"/>
      <c r="C12" s="725"/>
      <c r="D12" s="725"/>
      <c r="E12" s="725"/>
      <c r="F12" s="725"/>
      <c r="G12" s="725"/>
      <c r="H12" s="725"/>
    </row>
    <row r="13" spans="2:10">
      <c r="B13" s="725"/>
      <c r="C13" s="725"/>
      <c r="D13" s="725"/>
      <c r="E13" s="725"/>
      <c r="F13" s="725"/>
      <c r="G13" s="725"/>
      <c r="H13" s="725"/>
    </row>
    <row r="14" spans="2:10">
      <c r="B14" s="725"/>
      <c r="C14" s="725"/>
      <c r="D14" s="725"/>
      <c r="E14" s="725"/>
      <c r="F14" s="725"/>
      <c r="G14" s="725"/>
      <c r="H14" s="725"/>
    </row>
    <row r="15" spans="2:10">
      <c r="B15" s="1"/>
      <c r="C15" s="1"/>
      <c r="D15" s="1"/>
      <c r="E15" s="1"/>
      <c r="F15" s="1"/>
      <c r="G15" s="1"/>
      <c r="H15" s="1"/>
    </row>
    <row r="16" spans="2:10">
      <c r="B16" s="718" t="s">
        <v>517</v>
      </c>
      <c r="C16" s="719"/>
      <c r="D16" s="719"/>
      <c r="E16" s="719"/>
      <c r="F16" s="719"/>
      <c r="G16" s="719"/>
      <c r="H16" s="719"/>
    </row>
    <row r="17" spans="2:8">
      <c r="B17" s="719"/>
      <c r="C17" s="719"/>
      <c r="D17" s="719"/>
      <c r="E17" s="719"/>
      <c r="F17" s="719"/>
      <c r="G17" s="719"/>
      <c r="H17" s="719"/>
    </row>
    <row r="18" spans="2:8">
      <c r="B18" s="12"/>
      <c r="C18"/>
      <c r="D18"/>
      <c r="E18"/>
      <c r="F18"/>
      <c r="G18"/>
      <c r="H18"/>
    </row>
    <row r="19" spans="2:8">
      <c r="B19" s="12" t="str">
        <f ca="1">CONCATENATE("Whereas, ",(inputPrYr!D3)," provides essential services to district residents; and")</f>
        <v>Whereas, Crowm Hill Cemetery provides essential services to district residents; and</v>
      </c>
      <c r="C19"/>
      <c r="D19"/>
      <c r="E19"/>
      <c r="F19"/>
      <c r="G19"/>
      <c r="H19"/>
    </row>
    <row r="20" spans="2:8">
      <c r="B20" s="12"/>
      <c r="C20"/>
      <c r="D20"/>
      <c r="E20"/>
      <c r="F20"/>
      <c r="G20"/>
      <c r="H20"/>
    </row>
    <row r="21" spans="2:8">
      <c r="B21" s="12" t="s">
        <v>518</v>
      </c>
      <c r="C21"/>
      <c r="D21"/>
      <c r="E21"/>
      <c r="F21"/>
      <c r="G21"/>
      <c r="H21"/>
    </row>
    <row r="22" spans="2:8">
      <c r="B22" s="12"/>
      <c r="C22"/>
      <c r="D22"/>
      <c r="E22"/>
      <c r="F22"/>
      <c r="G22"/>
      <c r="H22"/>
    </row>
    <row r="23" spans="2:8">
      <c r="B23" s="720" t="str">
        <f ca="1">CONCATENATE("NOW, THEREFORE, BE IT RESOLVED by the Board of the ",(inputPrYr!D3)," that is our desire to notify the public of the possibility of increased property taxes to finance the ",inputPrYr!D6," ",(inputPrYr!D3), "  budget as defined above.")</f>
        <v>NOW, THEREFORE, BE IT RESOLVED by the Board of the Crowm Hill Cemetery that is our desire to notify the public of the possibility of increased property taxes to finance the 2014 Crowm Hill Cemetery  budget as defined above.</v>
      </c>
      <c r="C23" s="721"/>
      <c r="D23" s="721"/>
      <c r="E23" s="721"/>
      <c r="F23" s="721"/>
      <c r="G23" s="721"/>
      <c r="H23" s="721"/>
    </row>
    <row r="24" spans="2:8">
      <c r="B24" s="721"/>
      <c r="C24" s="721"/>
      <c r="D24" s="721"/>
      <c r="E24" s="721"/>
      <c r="F24" s="721"/>
      <c r="G24" s="721"/>
      <c r="H24" s="721"/>
    </row>
    <row r="25" spans="2:8">
      <c r="B25" s="721"/>
      <c r="C25" s="721"/>
      <c r="D25" s="721"/>
      <c r="E25" s="721"/>
      <c r="F25" s="721"/>
      <c r="G25" s="721"/>
      <c r="H25" s="721"/>
    </row>
    <row r="26" spans="2:8">
      <c r="B26" s="12"/>
      <c r="C26"/>
      <c r="D26"/>
      <c r="E26"/>
      <c r="F26"/>
      <c r="G26"/>
      <c r="H26"/>
    </row>
    <row r="27" spans="2:8">
      <c r="B27" s="718" t="str">
        <f ca="1">CONCATENATE("Adopted this _________ day of ___________, ",inputPrYr!D6-1," by the ",(inputPrYr!D3)," District Board, ",(inputPrYr!D4),", Kansas.")</f>
        <v>Adopted this _________ day of ___________, 2013 by the Crowm Hill Cemetery District Board, Comanche County , Kansas.</v>
      </c>
      <c r="C27" s="717"/>
      <c r="D27" s="717"/>
      <c r="E27" s="717"/>
      <c r="F27" s="717"/>
      <c r="G27" s="717"/>
      <c r="H27" s="717"/>
    </row>
    <row r="28" spans="2:8">
      <c r="B28" s="717"/>
      <c r="C28" s="717"/>
      <c r="D28" s="717"/>
      <c r="E28" s="717"/>
      <c r="F28" s="717"/>
      <c r="G28" s="717"/>
      <c r="H28" s="717"/>
    </row>
    <row r="29" spans="2:8">
      <c r="B29" s="8"/>
      <c r="C29"/>
      <c r="D29"/>
      <c r="E29"/>
      <c r="F29"/>
      <c r="G29"/>
      <c r="H29"/>
    </row>
    <row r="30" spans="2:8">
      <c r="B30" s="8"/>
      <c r="C30"/>
      <c r="D30"/>
      <c r="E30"/>
      <c r="F30"/>
      <c r="G30"/>
      <c r="H30"/>
    </row>
    <row r="31" spans="2:8">
      <c r="B31" s="9" t="str">
        <f ca="1">CONCATENATE(" ",(inputPrYr!D3)," District Board")</f>
        <v xml:space="preserve"> Crowm Hill Cemetery District Board</v>
      </c>
      <c r="C31"/>
      <c r="D31"/>
      <c r="E31"/>
      <c r="F31"/>
      <c r="G31"/>
      <c r="H31"/>
    </row>
    <row r="32" spans="2:8">
      <c r="B32" s="8"/>
      <c r="C32"/>
      <c r="D32"/>
      <c r="E32"/>
      <c r="F32"/>
      <c r="G32"/>
      <c r="H32"/>
    </row>
    <row r="33" spans="2:8">
      <c r="B33"/>
      <c r="C33"/>
      <c r="D33"/>
      <c r="E33" s="722" t="s">
        <v>506</v>
      </c>
      <c r="F33" s="722"/>
      <c r="G33" s="722"/>
      <c r="H33" s="722"/>
    </row>
    <row r="34" spans="2:8">
      <c r="B34"/>
      <c r="C34"/>
      <c r="D34"/>
      <c r="E34" s="722" t="s">
        <v>509</v>
      </c>
      <c r="F34" s="722"/>
      <c r="G34" s="722"/>
      <c r="H34" s="722"/>
    </row>
    <row r="35" spans="2:8">
      <c r="B35" s="8"/>
      <c r="C35"/>
      <c r="D35"/>
      <c r="E35" s="722"/>
      <c r="F35" s="722"/>
      <c r="G35" s="722"/>
      <c r="H35" s="722"/>
    </row>
    <row r="36" spans="2:8">
      <c r="B36"/>
      <c r="C36"/>
      <c r="D36"/>
      <c r="E36" s="722" t="s">
        <v>506</v>
      </c>
      <c r="F36" s="722"/>
      <c r="G36" s="722"/>
      <c r="H36" s="722"/>
    </row>
    <row r="37" spans="2:8">
      <c r="B37"/>
      <c r="C37"/>
      <c r="D37"/>
      <c r="E37" s="722" t="s">
        <v>510</v>
      </c>
      <c r="F37" s="722"/>
      <c r="G37" s="722"/>
      <c r="H37" s="722"/>
    </row>
    <row r="38" spans="2:8">
      <c r="B38" s="8"/>
      <c r="C38"/>
      <c r="D38"/>
      <c r="E38" s="722"/>
      <c r="F38" s="722"/>
      <c r="G38" s="722"/>
      <c r="H38" s="722"/>
    </row>
    <row r="39" spans="2:8">
      <c r="B39"/>
      <c r="C39"/>
      <c r="D39"/>
      <c r="E39" s="722" t="s">
        <v>506</v>
      </c>
      <c r="F39" s="722"/>
      <c r="G39" s="722"/>
      <c r="H39" s="722"/>
    </row>
    <row r="40" spans="2:8">
      <c r="B40"/>
      <c r="C40"/>
      <c r="D40"/>
      <c r="E40" s="722" t="s">
        <v>511</v>
      </c>
      <c r="F40" s="722"/>
      <c r="G40" s="722"/>
      <c r="H40" s="72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412</v>
      </c>
      <c r="E45" s="15"/>
      <c r="F45" s="13"/>
      <c r="G45" s="13"/>
      <c r="H45" s="13"/>
    </row>
    <row r="46" spans="2:8">
      <c r="B46" s="10" t="s">
        <v>507</v>
      </c>
      <c r="E46" s="715"/>
      <c r="F46" s="715"/>
      <c r="G46" s="715"/>
      <c r="H46" s="715"/>
    </row>
    <row r="47" spans="2:8">
      <c r="B47" s="3"/>
      <c r="E47" s="715"/>
      <c r="F47" s="715"/>
      <c r="G47" s="715"/>
      <c r="H47" s="715"/>
    </row>
    <row r="48" spans="2:8">
      <c r="E48" s="715"/>
      <c r="F48" s="715"/>
      <c r="G48" s="715"/>
      <c r="H48" s="715"/>
    </row>
    <row r="49" spans="2:8">
      <c r="E49" s="715"/>
      <c r="F49" s="715"/>
      <c r="G49" s="715"/>
      <c r="H49" s="715"/>
    </row>
    <row r="50" spans="2:8">
      <c r="B50" s="3"/>
      <c r="E50" s="715"/>
      <c r="F50" s="715"/>
      <c r="G50" s="715"/>
      <c r="H50" s="71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0.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54" t="s">
        <v>703</v>
      </c>
      <c r="B3" s="354"/>
      <c r="C3" s="354"/>
      <c r="D3" s="354"/>
      <c r="E3" s="354"/>
      <c r="F3" s="354"/>
      <c r="G3" s="354"/>
      <c r="H3" s="354"/>
      <c r="I3" s="354"/>
      <c r="J3" s="354"/>
      <c r="K3" s="354"/>
      <c r="L3" s="354"/>
    </row>
    <row r="5" spans="1:12">
      <c r="A5" s="355" t="s">
        <v>704</v>
      </c>
    </row>
    <row r="6" spans="1:12">
      <c r="A6" s="355" t="str">
        <f ca="1">CONCATENATE(inputPrYr!D6-2," 'total expenditures' exceed your ",inputPrYr!D6-2," 'budget authority.'")</f>
        <v>2012 'total expenditures' exceed your 2012 'budget authority.'</v>
      </c>
    </row>
    <row r="7" spans="1:12">
      <c r="A7" s="355"/>
    </row>
    <row r="8" spans="1:12">
      <c r="A8" s="355" t="s">
        <v>705</v>
      </c>
    </row>
    <row r="9" spans="1:12">
      <c r="A9" s="355" t="s">
        <v>706</v>
      </c>
    </row>
    <row r="10" spans="1:12">
      <c r="A10" s="355" t="s">
        <v>707</v>
      </c>
    </row>
    <row r="11" spans="1:12">
      <c r="A11" s="355"/>
    </row>
    <row r="12" spans="1:12">
      <c r="A12" s="355"/>
    </row>
    <row r="13" spans="1:12">
      <c r="A13" s="356" t="s">
        <v>708</v>
      </c>
    </row>
    <row r="15" spans="1:12">
      <c r="A15" s="355" t="s">
        <v>709</v>
      </c>
    </row>
    <row r="16" spans="1:12">
      <c r="A16" s="355" t="str">
        <f ca="1">CONCATENATE("(i.e. an audit has not been completed, or the ",inputPrYr!D6," adopted")</f>
        <v>(i.e. an audit has not been completed, or the 2014 adopted</v>
      </c>
    </row>
    <row r="17" spans="1:1">
      <c r="A17" s="355" t="s">
        <v>710</v>
      </c>
    </row>
    <row r="18" spans="1:1">
      <c r="A18" s="355" t="s">
        <v>711</v>
      </c>
    </row>
    <row r="19" spans="1:1">
      <c r="A19" s="355" t="s">
        <v>712</v>
      </c>
    </row>
    <row r="21" spans="1:1">
      <c r="A21" s="356" t="s">
        <v>713</v>
      </c>
    </row>
    <row r="22" spans="1:1">
      <c r="A22" s="356"/>
    </row>
    <row r="23" spans="1:1">
      <c r="A23" s="355" t="s">
        <v>714</v>
      </c>
    </row>
    <row r="24" spans="1:1">
      <c r="A24" s="355" t="s">
        <v>715</v>
      </c>
    </row>
    <row r="25" spans="1:1">
      <c r="A25" s="355" t="str">
        <f ca="1">CONCATENATE("particular fund.  If your ",inputPrYr!D6-2," budget was amended, did you")</f>
        <v>particular fund.  If your 2012 budget was amended, did you</v>
      </c>
    </row>
    <row r="26" spans="1:1">
      <c r="A26" s="355" t="s">
        <v>716</v>
      </c>
    </row>
    <row r="27" spans="1:1">
      <c r="A27" s="355"/>
    </row>
    <row r="28" spans="1:1">
      <c r="A28" s="355" t="str">
        <f ca="1">CONCATENATE("Next, look to see if any of your ",inputPrYr!D6-2," expenditures can be")</f>
        <v>Next, look to see if any of your 2012 expenditures can be</v>
      </c>
    </row>
    <row r="29" spans="1:1">
      <c r="A29" s="355" t="s">
        <v>717</v>
      </c>
    </row>
    <row r="30" spans="1:1">
      <c r="A30" s="355" t="s">
        <v>718</v>
      </c>
    </row>
    <row r="31" spans="1:1">
      <c r="A31" s="355" t="s">
        <v>719</v>
      </c>
    </row>
    <row r="32" spans="1:1">
      <c r="A32" s="355"/>
    </row>
    <row r="33" spans="1:1">
      <c r="A33" s="355" t="str">
        <f ca="1">CONCATENATE("Additionally, do your ",inputPrYr!D6-2," receipts contain a reimbursement")</f>
        <v>Additionally, do your 2012 receipts contain a reimbursement</v>
      </c>
    </row>
    <row r="34" spans="1:1">
      <c r="A34" s="355" t="s">
        <v>720</v>
      </c>
    </row>
    <row r="35" spans="1:1">
      <c r="A35" s="355" t="s">
        <v>721</v>
      </c>
    </row>
    <row r="36" spans="1:1">
      <c r="A36" s="355"/>
    </row>
    <row r="37" spans="1:1">
      <c r="A37" s="355" t="s">
        <v>725</v>
      </c>
    </row>
    <row r="38" spans="1:1">
      <c r="A38" s="355" t="s">
        <v>726</v>
      </c>
    </row>
    <row r="39" spans="1:1">
      <c r="A39" s="355" t="s">
        <v>727</v>
      </c>
    </row>
    <row r="40" spans="1:1">
      <c r="A40" s="355"/>
    </row>
    <row r="41" spans="1:1">
      <c r="A41" s="356" t="s">
        <v>728</v>
      </c>
    </row>
    <row r="42" spans="1:1">
      <c r="A42" s="355"/>
    </row>
    <row r="43" spans="1:1">
      <c r="A43" s="355" t="s">
        <v>729</v>
      </c>
    </row>
    <row r="44" spans="1:1">
      <c r="A44" s="355" t="s">
        <v>730</v>
      </c>
    </row>
    <row r="45" spans="1:1">
      <c r="A45" s="355" t="s">
        <v>731</v>
      </c>
    </row>
    <row r="46" spans="1:1">
      <c r="A46" s="355" t="s">
        <v>732</v>
      </c>
    </row>
    <row r="47" spans="1:1">
      <c r="A47" s="355" t="s">
        <v>733</v>
      </c>
    </row>
    <row r="48" spans="1:1">
      <c r="A48" s="355" t="s">
        <v>734</v>
      </c>
    </row>
    <row r="49" spans="1:1">
      <c r="A49" s="355" t="s">
        <v>735</v>
      </c>
    </row>
    <row r="50" spans="1:1">
      <c r="A50" s="355" t="s">
        <v>736</v>
      </c>
    </row>
    <row r="51" spans="1:1">
      <c r="A51" s="355" t="s">
        <v>737</v>
      </c>
    </row>
    <row r="52" spans="1:1">
      <c r="A52" s="355" t="s">
        <v>738</v>
      </c>
    </row>
    <row r="53" spans="1:1">
      <c r="A53" s="355" t="s">
        <v>739</v>
      </c>
    </row>
    <row r="54" spans="1:1">
      <c r="A54" s="355" t="s">
        <v>740</v>
      </c>
    </row>
    <row r="55" spans="1:1">
      <c r="A55" s="355" t="s">
        <v>741</v>
      </c>
    </row>
    <row r="56" spans="1:1">
      <c r="A56" s="355"/>
    </row>
    <row r="57" spans="1:1">
      <c r="A57" s="355" t="s">
        <v>742</v>
      </c>
    </row>
    <row r="58" spans="1:1">
      <c r="A58" s="355" t="s">
        <v>743</v>
      </c>
    </row>
    <row r="59" spans="1:1">
      <c r="A59" s="355" t="s">
        <v>744</v>
      </c>
    </row>
    <row r="60" spans="1:1">
      <c r="A60" s="355"/>
    </row>
    <row r="61" spans="1:1">
      <c r="A61" s="356" t="str">
        <f ca="1">CONCATENATE("What if the ",inputPrYr!D6-2," financial records have been closed?")</f>
        <v>What if the 2012 financial records have been closed?</v>
      </c>
    </row>
    <row r="63" spans="1:1">
      <c r="A63" s="355" t="s">
        <v>745</v>
      </c>
    </row>
    <row r="64" spans="1:1">
      <c r="A64" s="355" t="str">
        <f ca="1">CONCATENATE("(i.e. an audit for ",inputPrYr!D6-2," has been completed, or the ",inputPrYr!D6)</f>
        <v>(i.e. an audit for 2012 has been completed, or the 2014</v>
      </c>
    </row>
    <row r="65" spans="1:1">
      <c r="A65" s="355" t="s">
        <v>746</v>
      </c>
    </row>
    <row r="66" spans="1:1">
      <c r="A66" s="355" t="s">
        <v>747</v>
      </c>
    </row>
    <row r="67" spans="1:1">
      <c r="A67" s="355"/>
    </row>
    <row r="68" spans="1:1">
      <c r="A68" s="355" t="s">
        <v>748</v>
      </c>
    </row>
    <row r="69" spans="1:1">
      <c r="A69" s="355" t="s">
        <v>749</v>
      </c>
    </row>
    <row r="70" spans="1:1">
      <c r="A70" s="355" t="s">
        <v>750</v>
      </c>
    </row>
    <row r="71" spans="1:1">
      <c r="A71" s="355"/>
    </row>
    <row r="72" spans="1:1">
      <c r="A72" s="355" t="s">
        <v>751</v>
      </c>
    </row>
  </sheetData>
  <sheetProtection sheet="1"/>
  <phoneticPr fontId="0"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54" t="s">
        <v>752</v>
      </c>
      <c r="B3" s="354"/>
      <c r="C3" s="354"/>
      <c r="D3" s="354"/>
      <c r="E3" s="354"/>
      <c r="F3" s="354"/>
      <c r="G3" s="354"/>
      <c r="H3" s="357"/>
      <c r="I3" s="357"/>
      <c r="J3" s="357"/>
    </row>
    <row r="5" spans="1:10">
      <c r="A5" s="355" t="s">
        <v>753</v>
      </c>
    </row>
    <row r="6" spans="1:10">
      <c r="A6" t="str">
        <f ca="1">CONCATENATE(inputPrYr!D6-2," expenditures show that you finished the year with a ")</f>
        <v xml:space="preserve">2012 expenditures show that you finished the year with a </v>
      </c>
    </row>
    <row r="7" spans="1:10">
      <c r="A7" t="s">
        <v>754</v>
      </c>
    </row>
    <row r="9" spans="1:10">
      <c r="A9" t="s">
        <v>755</v>
      </c>
    </row>
    <row r="10" spans="1:10">
      <c r="A10" t="s">
        <v>756</v>
      </c>
    </row>
    <row r="11" spans="1:10">
      <c r="A11" t="s">
        <v>757</v>
      </c>
    </row>
    <row r="13" spans="1:10">
      <c r="A13" s="356" t="s">
        <v>758</v>
      </c>
    </row>
    <row r="14" spans="1:10">
      <c r="A14" s="356"/>
    </row>
    <row r="15" spans="1:10">
      <c r="A15" s="355" t="s">
        <v>759</v>
      </c>
    </row>
    <row r="16" spans="1:10">
      <c r="A16" s="355" t="s">
        <v>760</v>
      </c>
    </row>
    <row r="17" spans="1:1">
      <c r="A17" s="355" t="s">
        <v>761</v>
      </c>
    </row>
    <row r="18" spans="1:1">
      <c r="A18" s="355"/>
    </row>
    <row r="19" spans="1:1">
      <c r="A19" s="356" t="s">
        <v>762</v>
      </c>
    </row>
    <row r="20" spans="1:1">
      <c r="A20" s="356"/>
    </row>
    <row r="21" spans="1:1">
      <c r="A21" s="355" t="s">
        <v>763</v>
      </c>
    </row>
    <row r="22" spans="1:1">
      <c r="A22" s="355" t="s">
        <v>764</v>
      </c>
    </row>
    <row r="23" spans="1:1">
      <c r="A23" s="355" t="s">
        <v>765</v>
      </c>
    </row>
    <row r="24" spans="1:1">
      <c r="A24" s="355"/>
    </row>
    <row r="25" spans="1:1">
      <c r="A25" s="356" t="s">
        <v>766</v>
      </c>
    </row>
    <row r="26" spans="1:1">
      <c r="A26" s="356"/>
    </row>
    <row r="27" spans="1:1">
      <c r="A27" s="355" t="s">
        <v>767</v>
      </c>
    </row>
    <row r="28" spans="1:1">
      <c r="A28" s="355" t="s">
        <v>768</v>
      </c>
    </row>
    <row r="29" spans="1:1">
      <c r="A29" s="355" t="s">
        <v>769</v>
      </c>
    </row>
    <row r="30" spans="1:1">
      <c r="A30" s="355"/>
    </row>
    <row r="31" spans="1:1">
      <c r="A31" s="356" t="s">
        <v>770</v>
      </c>
    </row>
    <row r="32" spans="1:1">
      <c r="A32" s="356"/>
    </row>
    <row r="33" spans="1:8">
      <c r="A33" s="355" t="str">
        <f ca="1">CONCATENATE("If your financial records for ",inputPrYr!D6-2," are not closed")</f>
        <v>If your financial records for 2012 are not closed</v>
      </c>
      <c r="B33" s="355"/>
      <c r="C33" s="355"/>
      <c r="D33" s="355"/>
      <c r="E33" s="355"/>
      <c r="F33" s="355"/>
      <c r="G33" s="355"/>
      <c r="H33" s="355"/>
    </row>
    <row r="34" spans="1:8">
      <c r="A34" s="355" t="str">
        <f ca="1">CONCATENATE("(i.e. an audit has not been completed, or the ",inputPrYr!D6," adopted ")</f>
        <v xml:space="preserve">(i.e. an audit has not been completed, or the 2014 adopted </v>
      </c>
      <c r="B34" s="355"/>
      <c r="C34" s="355"/>
      <c r="D34" s="355"/>
      <c r="E34" s="355"/>
      <c r="F34" s="355"/>
      <c r="G34" s="355"/>
      <c r="H34" s="355"/>
    </row>
    <row r="35" spans="1:8">
      <c r="A35" s="355" t="s">
        <v>771</v>
      </c>
      <c r="B35" s="355"/>
      <c r="C35" s="355"/>
      <c r="D35" s="355"/>
      <c r="E35" s="355"/>
      <c r="F35" s="355"/>
      <c r="G35" s="355"/>
      <c r="H35" s="355"/>
    </row>
    <row r="36" spans="1:8">
      <c r="A36" s="355" t="s">
        <v>772</v>
      </c>
      <c r="B36" s="355"/>
      <c r="C36" s="355"/>
      <c r="D36" s="355"/>
      <c r="E36" s="355"/>
      <c r="F36" s="355"/>
      <c r="G36" s="355"/>
      <c r="H36" s="355"/>
    </row>
    <row r="37" spans="1:8">
      <c r="A37" s="355" t="s">
        <v>773</v>
      </c>
      <c r="B37" s="355"/>
      <c r="C37" s="355"/>
      <c r="D37" s="355"/>
      <c r="E37" s="355"/>
      <c r="F37" s="355"/>
      <c r="G37" s="355"/>
      <c r="H37" s="355"/>
    </row>
    <row r="38" spans="1:8">
      <c r="A38" s="355" t="s">
        <v>774</v>
      </c>
      <c r="B38" s="355"/>
      <c r="C38" s="355"/>
      <c r="D38" s="355"/>
      <c r="E38" s="355"/>
      <c r="F38" s="355"/>
      <c r="G38" s="355"/>
      <c r="H38" s="355"/>
    </row>
    <row r="39" spans="1:8">
      <c r="A39" s="355" t="s">
        <v>775</v>
      </c>
      <c r="B39" s="355"/>
      <c r="C39" s="355"/>
      <c r="D39" s="355"/>
      <c r="E39" s="355"/>
      <c r="F39" s="355"/>
      <c r="G39" s="355"/>
      <c r="H39" s="355"/>
    </row>
    <row r="40" spans="1:8">
      <c r="A40" s="355"/>
      <c r="B40" s="355"/>
      <c r="C40" s="355"/>
      <c r="D40" s="355"/>
      <c r="E40" s="355"/>
      <c r="F40" s="355"/>
      <c r="G40" s="355"/>
      <c r="H40" s="355"/>
    </row>
    <row r="41" spans="1:8">
      <c r="A41" s="355" t="s">
        <v>776</v>
      </c>
      <c r="B41" s="355"/>
      <c r="C41" s="355"/>
      <c r="D41" s="355"/>
      <c r="E41" s="355"/>
      <c r="F41" s="355"/>
      <c r="G41" s="355"/>
      <c r="H41" s="355"/>
    </row>
    <row r="42" spans="1:8">
      <c r="A42" s="355" t="s">
        <v>777</v>
      </c>
      <c r="B42" s="355"/>
      <c r="C42" s="355"/>
      <c r="D42" s="355"/>
      <c r="E42" s="355"/>
      <c r="F42" s="355"/>
      <c r="G42" s="355"/>
      <c r="H42" s="355"/>
    </row>
    <row r="43" spans="1:8">
      <c r="A43" s="355" t="s">
        <v>778</v>
      </c>
      <c r="B43" s="355"/>
      <c r="C43" s="355"/>
      <c r="D43" s="355"/>
      <c r="E43" s="355"/>
      <c r="F43" s="355"/>
      <c r="G43" s="355"/>
      <c r="H43" s="355"/>
    </row>
    <row r="44" spans="1:8">
      <c r="A44" s="355" t="s">
        <v>779</v>
      </c>
      <c r="B44" s="355"/>
      <c r="C44" s="355"/>
      <c r="D44" s="355"/>
      <c r="E44" s="355"/>
      <c r="F44" s="355"/>
      <c r="G44" s="355"/>
      <c r="H44" s="355"/>
    </row>
    <row r="45" spans="1:8">
      <c r="A45" s="355"/>
      <c r="B45" s="355"/>
      <c r="C45" s="355"/>
      <c r="D45" s="355"/>
      <c r="E45" s="355"/>
      <c r="F45" s="355"/>
      <c r="G45" s="355"/>
      <c r="H45" s="355"/>
    </row>
    <row r="46" spans="1:8">
      <c r="A46" s="355" t="s">
        <v>780</v>
      </c>
      <c r="B46" s="355"/>
      <c r="C46" s="355"/>
      <c r="D46" s="355"/>
      <c r="E46" s="355"/>
      <c r="F46" s="355"/>
      <c r="G46" s="355"/>
      <c r="H46" s="355"/>
    </row>
    <row r="47" spans="1:8">
      <c r="A47" s="355" t="s">
        <v>781</v>
      </c>
      <c r="B47" s="355"/>
      <c r="C47" s="355"/>
      <c r="D47" s="355"/>
      <c r="E47" s="355"/>
      <c r="F47" s="355"/>
      <c r="G47" s="355"/>
      <c r="H47" s="355"/>
    </row>
    <row r="48" spans="1:8">
      <c r="A48" s="355" t="s">
        <v>782</v>
      </c>
      <c r="B48" s="355"/>
      <c r="C48" s="355"/>
      <c r="D48" s="355"/>
      <c r="E48" s="355"/>
      <c r="F48" s="355"/>
      <c r="G48" s="355"/>
      <c r="H48" s="355"/>
    </row>
    <row r="49" spans="1:8">
      <c r="A49" s="355" t="s">
        <v>783</v>
      </c>
      <c r="B49" s="355"/>
      <c r="C49" s="355"/>
      <c r="D49" s="355"/>
      <c r="E49" s="355"/>
      <c r="F49" s="355"/>
      <c r="G49" s="355"/>
      <c r="H49" s="355"/>
    </row>
    <row r="50" spans="1:8">
      <c r="A50" s="355" t="s">
        <v>784</v>
      </c>
      <c r="B50" s="355"/>
      <c r="C50" s="355"/>
      <c r="D50" s="355"/>
      <c r="E50" s="355"/>
      <c r="F50" s="355"/>
      <c r="G50" s="355"/>
      <c r="H50" s="355"/>
    </row>
    <row r="51" spans="1:8">
      <c r="A51" s="355"/>
      <c r="B51" s="355"/>
      <c r="C51" s="355"/>
      <c r="D51" s="355"/>
      <c r="E51" s="355"/>
      <c r="F51" s="355"/>
      <c r="G51" s="355"/>
      <c r="H51" s="355"/>
    </row>
    <row r="52" spans="1:8">
      <c r="A52" s="356" t="s">
        <v>785</v>
      </c>
      <c r="B52" s="356"/>
      <c r="C52" s="356"/>
      <c r="D52" s="356"/>
      <c r="E52" s="356"/>
      <c r="F52" s="356"/>
      <c r="G52" s="356"/>
      <c r="H52" s="355"/>
    </row>
    <row r="53" spans="1:8">
      <c r="A53" s="356" t="s">
        <v>786</v>
      </c>
      <c r="B53" s="356"/>
      <c r="C53" s="356"/>
      <c r="D53" s="356"/>
      <c r="E53" s="356"/>
      <c r="F53" s="356"/>
      <c r="G53" s="356"/>
      <c r="H53" s="355"/>
    </row>
    <row r="54" spans="1:8">
      <c r="A54" s="355"/>
      <c r="B54" s="355"/>
      <c r="C54" s="355"/>
      <c r="D54" s="355"/>
      <c r="E54" s="355"/>
      <c r="F54" s="355"/>
      <c r="G54" s="355"/>
      <c r="H54" s="355"/>
    </row>
    <row r="55" spans="1:8">
      <c r="A55" s="355" t="s">
        <v>787</v>
      </c>
      <c r="B55" s="355"/>
      <c r="C55" s="355"/>
      <c r="D55" s="355"/>
      <c r="E55" s="355"/>
      <c r="F55" s="355"/>
      <c r="G55" s="355"/>
      <c r="H55" s="355"/>
    </row>
    <row r="56" spans="1:8">
      <c r="A56" s="355" t="s">
        <v>788</v>
      </c>
      <c r="B56" s="355"/>
      <c r="C56" s="355"/>
      <c r="D56" s="355"/>
      <c r="E56" s="355"/>
      <c r="F56" s="355"/>
      <c r="G56" s="355"/>
      <c r="H56" s="355"/>
    </row>
    <row r="57" spans="1:8">
      <c r="A57" s="355" t="s">
        <v>789</v>
      </c>
      <c r="B57" s="355"/>
      <c r="C57" s="355"/>
      <c r="D57" s="355"/>
      <c r="E57" s="355"/>
      <c r="F57" s="355"/>
      <c r="G57" s="355"/>
      <c r="H57" s="355"/>
    </row>
    <row r="58" spans="1:8">
      <c r="A58" s="355" t="s">
        <v>790</v>
      </c>
      <c r="B58" s="355"/>
      <c r="C58" s="355"/>
      <c r="D58" s="355"/>
      <c r="E58" s="355"/>
      <c r="F58" s="355"/>
      <c r="G58" s="355"/>
      <c r="H58" s="355"/>
    </row>
    <row r="59" spans="1:8">
      <c r="A59" s="355"/>
      <c r="B59" s="355"/>
      <c r="C59" s="355"/>
      <c r="D59" s="355"/>
      <c r="E59" s="355"/>
      <c r="F59" s="355"/>
      <c r="G59" s="355"/>
      <c r="H59" s="355"/>
    </row>
    <row r="60" spans="1:8">
      <c r="A60" s="355" t="s">
        <v>791</v>
      </c>
      <c r="B60" s="355"/>
      <c r="C60" s="355"/>
      <c r="D60" s="355"/>
      <c r="E60" s="355"/>
      <c r="F60" s="355"/>
      <c r="G60" s="355"/>
      <c r="H60" s="355"/>
    </row>
    <row r="61" spans="1:8">
      <c r="A61" s="355" t="s">
        <v>792</v>
      </c>
      <c r="B61" s="355"/>
      <c r="C61" s="355"/>
      <c r="D61" s="355"/>
      <c r="E61" s="355"/>
      <c r="F61" s="355"/>
      <c r="G61" s="355"/>
      <c r="H61" s="355"/>
    </row>
    <row r="62" spans="1:8">
      <c r="A62" s="355" t="s">
        <v>793</v>
      </c>
      <c r="B62" s="355"/>
      <c r="C62" s="355"/>
      <c r="D62" s="355"/>
      <c r="E62" s="355"/>
      <c r="F62" s="355"/>
      <c r="G62" s="355"/>
      <c r="H62" s="355"/>
    </row>
    <row r="63" spans="1:8">
      <c r="A63" s="355" t="s">
        <v>794</v>
      </c>
      <c r="B63" s="355"/>
      <c r="C63" s="355"/>
      <c r="D63" s="355"/>
      <c r="E63" s="355"/>
      <c r="F63" s="355"/>
      <c r="G63" s="355"/>
      <c r="H63" s="355"/>
    </row>
    <row r="64" spans="1:8">
      <c r="A64" s="355" t="s">
        <v>795</v>
      </c>
      <c r="B64" s="355"/>
      <c r="C64" s="355"/>
      <c r="D64" s="355"/>
      <c r="E64" s="355"/>
      <c r="F64" s="355"/>
      <c r="G64" s="355"/>
      <c r="H64" s="355"/>
    </row>
    <row r="65" spans="1:8">
      <c r="A65" s="355" t="s">
        <v>796</v>
      </c>
      <c r="B65" s="355"/>
      <c r="C65" s="355"/>
      <c r="D65" s="355"/>
      <c r="E65" s="355"/>
      <c r="F65" s="355"/>
      <c r="G65" s="355"/>
      <c r="H65" s="355"/>
    </row>
    <row r="66" spans="1:8">
      <c r="A66" s="355"/>
      <c r="B66" s="355"/>
      <c r="C66" s="355"/>
      <c r="D66" s="355"/>
      <c r="E66" s="355"/>
      <c r="F66" s="355"/>
      <c r="G66" s="355"/>
      <c r="H66" s="355"/>
    </row>
    <row r="67" spans="1:8">
      <c r="A67" s="355" t="s">
        <v>797</v>
      </c>
      <c r="B67" s="355"/>
      <c r="C67" s="355"/>
      <c r="D67" s="355"/>
      <c r="E67" s="355"/>
      <c r="F67" s="355"/>
      <c r="G67" s="355"/>
      <c r="H67" s="355"/>
    </row>
    <row r="68" spans="1:8">
      <c r="A68" s="355" t="s">
        <v>798</v>
      </c>
      <c r="B68" s="355"/>
      <c r="C68" s="355"/>
      <c r="D68" s="355"/>
      <c r="E68" s="355"/>
      <c r="F68" s="355"/>
      <c r="G68" s="355"/>
      <c r="H68" s="355"/>
    </row>
    <row r="69" spans="1:8">
      <c r="A69" s="355" t="s">
        <v>799</v>
      </c>
      <c r="B69" s="355"/>
      <c r="C69" s="355"/>
      <c r="D69" s="355"/>
      <c r="E69" s="355"/>
      <c r="F69" s="355"/>
      <c r="G69" s="355"/>
      <c r="H69" s="355"/>
    </row>
    <row r="70" spans="1:8">
      <c r="A70" s="355" t="s">
        <v>800</v>
      </c>
      <c r="B70" s="355"/>
      <c r="C70" s="355"/>
      <c r="D70" s="355"/>
      <c r="E70" s="355"/>
      <c r="F70" s="355"/>
      <c r="G70" s="355"/>
      <c r="H70" s="355"/>
    </row>
    <row r="71" spans="1:8">
      <c r="A71" s="355" t="s">
        <v>801</v>
      </c>
      <c r="B71" s="355"/>
      <c r="C71" s="355"/>
      <c r="D71" s="355"/>
      <c r="E71" s="355"/>
      <c r="F71" s="355"/>
      <c r="G71" s="355"/>
      <c r="H71" s="355"/>
    </row>
    <row r="72" spans="1:8">
      <c r="A72" s="355" t="s">
        <v>802</v>
      </c>
      <c r="B72" s="355"/>
      <c r="C72" s="355"/>
      <c r="D72" s="355"/>
      <c r="E72" s="355"/>
      <c r="F72" s="355"/>
      <c r="G72" s="355"/>
      <c r="H72" s="355"/>
    </row>
    <row r="73" spans="1:8">
      <c r="A73" s="355" t="s">
        <v>803</v>
      </c>
      <c r="B73" s="355"/>
      <c r="C73" s="355"/>
      <c r="D73" s="355"/>
      <c r="E73" s="355"/>
      <c r="F73" s="355"/>
      <c r="G73" s="355"/>
      <c r="H73" s="355"/>
    </row>
    <row r="74" spans="1:8">
      <c r="A74" s="355"/>
      <c r="B74" s="355"/>
      <c r="C74" s="355"/>
      <c r="D74" s="355"/>
      <c r="E74" s="355"/>
      <c r="F74" s="355"/>
      <c r="G74" s="355"/>
      <c r="H74" s="355"/>
    </row>
    <row r="75" spans="1:8">
      <c r="A75" s="355" t="s">
        <v>804</v>
      </c>
      <c r="B75" s="355"/>
      <c r="C75" s="355"/>
      <c r="D75" s="355"/>
      <c r="E75" s="355"/>
      <c r="F75" s="355"/>
      <c r="G75" s="355"/>
      <c r="H75" s="355"/>
    </row>
    <row r="76" spans="1:8">
      <c r="A76" s="355" t="s">
        <v>805</v>
      </c>
      <c r="B76" s="355"/>
      <c r="C76" s="355"/>
      <c r="D76" s="355"/>
      <c r="E76" s="355"/>
      <c r="F76" s="355"/>
      <c r="G76" s="355"/>
      <c r="H76" s="355"/>
    </row>
    <row r="77" spans="1:8">
      <c r="A77" s="355" t="s">
        <v>806</v>
      </c>
      <c r="B77" s="355"/>
      <c r="C77" s="355"/>
      <c r="D77" s="355"/>
      <c r="E77" s="355"/>
      <c r="F77" s="355"/>
      <c r="G77" s="355"/>
      <c r="H77" s="355"/>
    </row>
    <row r="78" spans="1:8">
      <c r="A78" s="355"/>
      <c r="B78" s="355"/>
      <c r="C78" s="355"/>
      <c r="D78" s="355"/>
      <c r="E78" s="355"/>
      <c r="F78" s="355"/>
      <c r="G78" s="355"/>
      <c r="H78" s="355"/>
    </row>
    <row r="79" spans="1:8">
      <c r="A79" s="355" t="s">
        <v>751</v>
      </c>
    </row>
    <row r="80" spans="1:8">
      <c r="A80" s="356"/>
    </row>
    <row r="81" spans="1:1">
      <c r="A81" s="355"/>
    </row>
    <row r="82" spans="1:1">
      <c r="A82" s="355"/>
    </row>
    <row r="83" spans="1:1">
      <c r="A83" s="355"/>
    </row>
    <row r="84" spans="1:1">
      <c r="A84" s="355"/>
    </row>
    <row r="85" spans="1:1">
      <c r="A85" s="355"/>
    </row>
    <row r="86" spans="1:1">
      <c r="A86" s="355"/>
    </row>
    <row r="87" spans="1:1">
      <c r="A87" s="355"/>
    </row>
    <row r="88" spans="1:1">
      <c r="A88" s="355"/>
    </row>
    <row r="89" spans="1:1">
      <c r="A89" s="355"/>
    </row>
    <row r="90" spans="1:1">
      <c r="A90" s="355"/>
    </row>
    <row r="91" spans="1:1">
      <c r="A91" s="355"/>
    </row>
    <row r="92" spans="1:1">
      <c r="A92" s="355"/>
    </row>
    <row r="93" spans="1:1">
      <c r="A93" s="355"/>
    </row>
    <row r="94" spans="1:1">
      <c r="A94" s="355"/>
    </row>
    <row r="95" spans="1:1">
      <c r="A95" s="355"/>
    </row>
    <row r="96" spans="1:1">
      <c r="A96" s="355"/>
    </row>
    <row r="97" spans="1:1">
      <c r="A97" s="355"/>
    </row>
    <row r="98" spans="1:1">
      <c r="A98" s="355"/>
    </row>
    <row r="99" spans="1:1">
      <c r="A99" s="355"/>
    </row>
    <row r="100" spans="1:1">
      <c r="A100" s="355"/>
    </row>
    <row r="101" spans="1:1">
      <c r="A101" s="355"/>
    </row>
    <row r="103" spans="1:1">
      <c r="A103" s="355"/>
    </row>
    <row r="104" spans="1:1">
      <c r="A104" s="355"/>
    </row>
    <row r="105" spans="1:1">
      <c r="A105" s="355"/>
    </row>
    <row r="107" spans="1:1">
      <c r="A107" s="356"/>
    </row>
    <row r="108" spans="1:1">
      <c r="A108" s="356"/>
    </row>
    <row r="109" spans="1:1">
      <c r="A109" s="356"/>
    </row>
  </sheetData>
  <sheetProtection sheet="1"/>
  <phoneticPr fontId="0"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54" t="s">
        <v>807</v>
      </c>
      <c r="B3" s="354"/>
      <c r="C3" s="354"/>
      <c r="D3" s="354"/>
      <c r="E3" s="354"/>
      <c r="F3" s="354"/>
      <c r="G3" s="354"/>
      <c r="H3" s="354"/>
      <c r="I3" s="354"/>
      <c r="J3" s="354"/>
      <c r="K3" s="354"/>
      <c r="L3" s="354"/>
    </row>
    <row r="4" spans="1:12">
      <c r="A4" s="354"/>
      <c r="B4" s="354"/>
      <c r="C4" s="354"/>
      <c r="D4" s="354"/>
      <c r="E4" s="354"/>
      <c r="F4" s="354"/>
      <c r="G4" s="354"/>
      <c r="H4" s="354"/>
      <c r="I4" s="354"/>
      <c r="J4" s="354"/>
      <c r="K4" s="354"/>
      <c r="L4" s="354"/>
    </row>
    <row r="5" spans="1:12">
      <c r="A5" s="355" t="s">
        <v>704</v>
      </c>
      <c r="I5" s="354"/>
      <c r="J5" s="354"/>
      <c r="K5" s="354"/>
      <c r="L5" s="354"/>
    </row>
    <row r="6" spans="1:12">
      <c r="A6" s="355" t="str">
        <f ca="1">CONCATENATE("estimated ",inputPrYr!D6-1," 'total expenditures' exceed your ",inputPrYr!D6-1,"")</f>
        <v>estimated 2013 'total expenditures' exceed your 2013</v>
      </c>
      <c r="I6" s="354"/>
      <c r="J6" s="354"/>
      <c r="K6" s="354"/>
      <c r="L6" s="354"/>
    </row>
    <row r="7" spans="1:12">
      <c r="A7" s="358" t="s">
        <v>808</v>
      </c>
      <c r="I7" s="354"/>
      <c r="J7" s="354"/>
      <c r="K7" s="354"/>
      <c r="L7" s="354"/>
    </row>
    <row r="8" spans="1:12">
      <c r="A8" s="355"/>
      <c r="I8" s="354"/>
      <c r="J8" s="354"/>
      <c r="K8" s="354"/>
      <c r="L8" s="354"/>
    </row>
    <row r="9" spans="1:12">
      <c r="A9" s="355" t="s">
        <v>809</v>
      </c>
      <c r="I9" s="354"/>
      <c r="J9" s="354"/>
      <c r="K9" s="354"/>
      <c r="L9" s="354"/>
    </row>
    <row r="10" spans="1:12">
      <c r="A10" s="355" t="s">
        <v>810</v>
      </c>
      <c r="I10" s="354"/>
      <c r="J10" s="354"/>
      <c r="K10" s="354"/>
      <c r="L10" s="354"/>
    </row>
    <row r="11" spans="1:12">
      <c r="A11" s="355" t="s">
        <v>811</v>
      </c>
      <c r="I11" s="354"/>
      <c r="J11" s="354"/>
      <c r="K11" s="354"/>
      <c r="L11" s="354"/>
    </row>
    <row r="12" spans="1:12">
      <c r="A12" s="355" t="s">
        <v>812</v>
      </c>
      <c r="I12" s="354"/>
      <c r="J12" s="354"/>
      <c r="K12" s="354"/>
      <c r="L12" s="354"/>
    </row>
    <row r="13" spans="1:12">
      <c r="A13" s="355" t="s">
        <v>813</v>
      </c>
      <c r="I13" s="354"/>
      <c r="J13" s="354"/>
      <c r="K13" s="354"/>
      <c r="L13" s="354"/>
    </row>
    <row r="14" spans="1:12">
      <c r="A14" s="354"/>
      <c r="B14" s="354"/>
      <c r="C14" s="354"/>
      <c r="D14" s="354"/>
      <c r="E14" s="354"/>
      <c r="F14" s="354"/>
      <c r="G14" s="354"/>
      <c r="H14" s="354"/>
      <c r="I14" s="354"/>
      <c r="J14" s="354"/>
      <c r="K14" s="354"/>
      <c r="L14" s="354"/>
    </row>
    <row r="15" spans="1:12">
      <c r="A15" s="356" t="s">
        <v>814</v>
      </c>
    </row>
    <row r="16" spans="1:12">
      <c r="A16" s="356" t="s">
        <v>815</v>
      </c>
    </row>
    <row r="17" spans="1:7">
      <c r="A17" s="356"/>
    </row>
    <row r="18" spans="1:7">
      <c r="A18" s="355" t="s">
        <v>4</v>
      </c>
      <c r="B18" s="355"/>
      <c r="C18" s="355"/>
      <c r="D18" s="355"/>
      <c r="E18" s="355"/>
      <c r="F18" s="355"/>
      <c r="G18" s="355"/>
    </row>
    <row r="19" spans="1:7">
      <c r="A19" s="355" t="str">
        <f ca="1">CONCATENATE("your ",inputPrYr!D6-1," numbers to see what steps might be necessary to")</f>
        <v>your 2013 numbers to see what steps might be necessary to</v>
      </c>
      <c r="B19" s="355"/>
      <c r="C19" s="355"/>
      <c r="D19" s="355"/>
      <c r="E19" s="355"/>
      <c r="F19" s="355"/>
      <c r="G19" s="355"/>
    </row>
    <row r="20" spans="1:7">
      <c r="A20" s="355" t="s">
        <v>5</v>
      </c>
      <c r="B20" s="355"/>
      <c r="C20" s="355"/>
      <c r="D20" s="355"/>
      <c r="E20" s="355"/>
      <c r="F20" s="355"/>
      <c r="G20" s="355"/>
    </row>
    <row r="21" spans="1:7">
      <c r="A21" s="355" t="s">
        <v>6</v>
      </c>
      <c r="B21" s="355"/>
      <c r="C21" s="355"/>
      <c r="D21" s="355"/>
      <c r="E21" s="355"/>
      <c r="F21" s="355"/>
      <c r="G21" s="355"/>
    </row>
    <row r="22" spans="1:7">
      <c r="A22" s="355"/>
    </row>
    <row r="23" spans="1:7">
      <c r="A23" s="356" t="s">
        <v>7</v>
      </c>
    </row>
    <row r="24" spans="1:7">
      <c r="A24" s="356"/>
    </row>
    <row r="25" spans="1:7">
      <c r="A25" s="355" t="s">
        <v>8</v>
      </c>
    </row>
    <row r="26" spans="1:7">
      <c r="A26" s="355" t="s">
        <v>9</v>
      </c>
      <c r="B26" s="355"/>
      <c r="C26" s="355"/>
      <c r="D26" s="355"/>
      <c r="E26" s="355"/>
      <c r="F26" s="355"/>
    </row>
    <row r="27" spans="1:7">
      <c r="A27" s="355" t="s">
        <v>10</v>
      </c>
      <c r="B27" s="355"/>
      <c r="C27" s="355"/>
      <c r="D27" s="355"/>
      <c r="E27" s="355"/>
      <c r="F27" s="355"/>
    </row>
    <row r="28" spans="1:7">
      <c r="A28" s="355" t="s">
        <v>11</v>
      </c>
      <c r="B28" s="355"/>
      <c r="C28" s="355"/>
      <c r="D28" s="355"/>
      <c r="E28" s="355"/>
      <c r="F28" s="355"/>
    </row>
    <row r="29" spans="1:7">
      <c r="A29" s="355"/>
      <c r="B29" s="355"/>
      <c r="C29" s="355"/>
      <c r="D29" s="355"/>
      <c r="E29" s="355"/>
      <c r="F29" s="355"/>
    </row>
    <row r="30" spans="1:7">
      <c r="A30" s="356" t="s">
        <v>12</v>
      </c>
      <c r="B30" s="356"/>
      <c r="C30" s="356"/>
      <c r="D30" s="356"/>
      <c r="E30" s="356"/>
      <c r="F30" s="356"/>
      <c r="G30" s="356"/>
    </row>
    <row r="31" spans="1:7">
      <c r="A31" s="356" t="s">
        <v>13</v>
      </c>
      <c r="B31" s="356"/>
      <c r="C31" s="356"/>
      <c r="D31" s="356"/>
      <c r="E31" s="356"/>
      <c r="F31" s="356"/>
      <c r="G31" s="356"/>
    </row>
    <row r="32" spans="1:7">
      <c r="A32" s="355"/>
      <c r="B32" s="355"/>
      <c r="C32" s="355"/>
      <c r="D32" s="355"/>
      <c r="E32" s="355"/>
      <c r="F32" s="355"/>
    </row>
    <row r="33" spans="1:6">
      <c r="A33" s="349" t="str">
        <f ca="1">CONCATENATE("Well, let's look to see if any of your ",inputPrYr!D6-1," expenditures can")</f>
        <v>Well, let's look to see if any of your 2013 expenditures can</v>
      </c>
      <c r="B33" s="355"/>
      <c r="C33" s="355"/>
      <c r="D33" s="355"/>
      <c r="E33" s="355"/>
      <c r="F33" s="355"/>
    </row>
    <row r="34" spans="1:6">
      <c r="A34" s="349" t="s">
        <v>14</v>
      </c>
      <c r="B34" s="355"/>
      <c r="C34" s="355"/>
      <c r="D34" s="355"/>
      <c r="E34" s="355"/>
      <c r="F34" s="355"/>
    </row>
    <row r="35" spans="1:6">
      <c r="A35" s="349" t="s">
        <v>718</v>
      </c>
      <c r="B35" s="355"/>
      <c r="C35" s="355"/>
      <c r="D35" s="355"/>
      <c r="E35" s="355"/>
      <c r="F35" s="355"/>
    </row>
    <row r="36" spans="1:6">
      <c r="A36" s="349" t="s">
        <v>719</v>
      </c>
      <c r="B36" s="355"/>
      <c r="C36" s="355"/>
      <c r="D36" s="355"/>
      <c r="E36" s="355"/>
      <c r="F36" s="355"/>
    </row>
    <row r="37" spans="1:6">
      <c r="A37" s="349"/>
      <c r="B37" s="355"/>
      <c r="C37" s="355"/>
      <c r="D37" s="355"/>
      <c r="E37" s="355"/>
      <c r="F37" s="355"/>
    </row>
    <row r="38" spans="1:6">
      <c r="A38" s="349" t="str">
        <f ca="1">CONCATENATE("Additionally, do your ",inputPrYr!D6-1," receipts contain a reimbursement")</f>
        <v>Additionally, do your 2013 receipts contain a reimbursement</v>
      </c>
      <c r="B38" s="355"/>
      <c r="C38" s="355"/>
      <c r="D38" s="355"/>
      <c r="E38" s="355"/>
      <c r="F38" s="355"/>
    </row>
    <row r="39" spans="1:6">
      <c r="A39" s="349" t="s">
        <v>720</v>
      </c>
      <c r="B39" s="355"/>
      <c r="C39" s="355"/>
      <c r="D39" s="355"/>
      <c r="E39" s="355"/>
      <c r="F39" s="355"/>
    </row>
    <row r="40" spans="1:6">
      <c r="A40" s="349" t="s">
        <v>721</v>
      </c>
      <c r="B40" s="355"/>
      <c r="C40" s="355"/>
      <c r="D40" s="355"/>
      <c r="E40" s="355"/>
      <c r="F40" s="355"/>
    </row>
    <row r="41" spans="1:6">
      <c r="A41" s="349"/>
      <c r="B41" s="355"/>
      <c r="C41" s="355"/>
      <c r="D41" s="355"/>
      <c r="E41" s="355"/>
      <c r="F41" s="355"/>
    </row>
    <row r="42" spans="1:6">
      <c r="A42" s="349" t="s">
        <v>15</v>
      </c>
      <c r="B42" s="355"/>
      <c r="C42" s="355"/>
      <c r="D42" s="355"/>
      <c r="E42" s="355"/>
      <c r="F42" s="355"/>
    </row>
    <row r="43" spans="1:6">
      <c r="A43" s="349" t="s">
        <v>16</v>
      </c>
      <c r="B43" s="355"/>
      <c r="C43" s="355"/>
      <c r="D43" s="355"/>
      <c r="E43" s="355"/>
      <c r="F43" s="355"/>
    </row>
    <row r="44" spans="1:6">
      <c r="A44" s="349" t="s">
        <v>17</v>
      </c>
      <c r="B44" s="355"/>
      <c r="C44" s="355"/>
      <c r="D44" s="355"/>
      <c r="E44" s="355"/>
      <c r="F44" s="355"/>
    </row>
    <row r="45" spans="1:6">
      <c r="A45" s="349" t="s">
        <v>18</v>
      </c>
      <c r="B45" s="355"/>
      <c r="C45" s="355"/>
      <c r="D45" s="355"/>
      <c r="E45" s="355"/>
      <c r="F45" s="355"/>
    </row>
    <row r="46" spans="1:6">
      <c r="A46" s="349" t="s">
        <v>19</v>
      </c>
      <c r="B46" s="355"/>
      <c r="C46" s="355"/>
      <c r="D46" s="355"/>
      <c r="E46" s="355"/>
      <c r="F46" s="355"/>
    </row>
    <row r="47" spans="1:6">
      <c r="A47" s="349"/>
      <c r="B47" s="355"/>
      <c r="C47" s="355"/>
      <c r="D47" s="355"/>
      <c r="E47" s="355"/>
      <c r="F47" s="355"/>
    </row>
    <row r="48" spans="1:6">
      <c r="A48" s="350" t="s">
        <v>20</v>
      </c>
      <c r="B48" s="355"/>
      <c r="C48" s="355"/>
      <c r="D48" s="355"/>
      <c r="E48" s="355"/>
      <c r="F48" s="355"/>
    </row>
    <row r="49" spans="1:6">
      <c r="A49" s="350" t="s">
        <v>21</v>
      </c>
      <c r="B49" s="355"/>
      <c r="C49" s="355"/>
      <c r="D49" s="355"/>
      <c r="E49" s="355"/>
      <c r="F49" s="355"/>
    </row>
    <row r="50" spans="1:6">
      <c r="A50" s="350" t="s">
        <v>22</v>
      </c>
      <c r="B50" s="355"/>
      <c r="C50" s="355"/>
      <c r="D50" s="355"/>
      <c r="E50" s="355"/>
      <c r="F50" s="355"/>
    </row>
    <row r="51" spans="1:6">
      <c r="A51" s="350" t="s">
        <v>23</v>
      </c>
    </row>
    <row r="52" spans="1:6">
      <c r="A52" s="350" t="s">
        <v>24</v>
      </c>
    </row>
    <row r="53" spans="1:6">
      <c r="A53" s="350" t="s">
        <v>25</v>
      </c>
    </row>
    <row r="55" spans="1:6">
      <c r="A55" s="355" t="s">
        <v>26</v>
      </c>
    </row>
    <row r="56" spans="1:6">
      <c r="A56" s="355" t="s">
        <v>27</v>
      </c>
    </row>
    <row r="57" spans="1:6">
      <c r="A57" s="355" t="s">
        <v>28</v>
      </c>
    </row>
    <row r="58" spans="1:6">
      <c r="A58" s="355" t="s">
        <v>29</v>
      </c>
    </row>
    <row r="59" spans="1:6">
      <c r="A59" s="355" t="s">
        <v>30</v>
      </c>
    </row>
    <row r="60" spans="1:6">
      <c r="A60" s="355" t="s">
        <v>31</v>
      </c>
    </row>
    <row r="62" spans="1:6">
      <c r="A62" s="355" t="s">
        <v>751</v>
      </c>
    </row>
  </sheetData>
  <sheetProtection sheet="1"/>
  <phoneticPr fontId="0" type="noConversion"/>
  <pageMargins left="0.7" right="0.7" top="0.75" bottom="0.75" header="0.3" footer="0.3"/>
  <pageSetup orientation="portrait" blackAndWhite="1" r:id="rId1"/>
</worksheet>
</file>

<file path=xl/worksheets/sheet23.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54" t="s">
        <v>32</v>
      </c>
      <c r="B3" s="354"/>
      <c r="C3" s="354"/>
      <c r="D3" s="354"/>
      <c r="E3" s="354"/>
      <c r="F3" s="354"/>
      <c r="G3" s="354"/>
    </row>
    <row r="4" spans="1:7">
      <c r="A4" s="354"/>
      <c r="B4" s="354"/>
      <c r="C4" s="354"/>
      <c r="D4" s="354"/>
      <c r="E4" s="354"/>
      <c r="F4" s="354"/>
      <c r="G4" s="354"/>
    </row>
    <row r="5" spans="1:7">
      <c r="A5" s="355" t="s">
        <v>753</v>
      </c>
    </row>
    <row r="6" spans="1:7">
      <c r="A6" s="355" t="str">
        <f ca="1">CONCATENATE(inputPrYr!D6-1," estimated expenditures show that at the end of this year")</f>
        <v>2013 estimated expenditures show that at the end of this year</v>
      </c>
    </row>
    <row r="7" spans="1:7">
      <c r="A7" s="355" t="s">
        <v>33</v>
      </c>
    </row>
    <row r="8" spans="1:7">
      <c r="A8" s="355" t="s">
        <v>34</v>
      </c>
    </row>
    <row r="10" spans="1:7">
      <c r="A10" t="s">
        <v>755</v>
      </c>
    </row>
    <row r="11" spans="1:7">
      <c r="A11" t="s">
        <v>756</v>
      </c>
    </row>
    <row r="12" spans="1:7">
      <c r="A12" t="s">
        <v>757</v>
      </c>
    </row>
    <row r="13" spans="1:7">
      <c r="A13" s="354"/>
      <c r="B13" s="354"/>
      <c r="C13" s="354"/>
      <c r="D13" s="354"/>
      <c r="E13" s="354"/>
      <c r="F13" s="354"/>
      <c r="G13" s="354"/>
    </row>
    <row r="14" spans="1:7">
      <c r="A14" s="356" t="s">
        <v>35</v>
      </c>
    </row>
    <row r="15" spans="1:7">
      <c r="A15" s="355"/>
    </row>
    <row r="16" spans="1:7">
      <c r="A16" s="355" t="s">
        <v>36</v>
      </c>
    </row>
    <row r="17" spans="1:7">
      <c r="A17" s="355" t="s">
        <v>37</v>
      </c>
    </row>
    <row r="18" spans="1:7">
      <c r="A18" s="355" t="s">
        <v>38</v>
      </c>
    </row>
    <row r="19" spans="1:7">
      <c r="A19" s="355"/>
    </row>
    <row r="20" spans="1:7">
      <c r="A20" s="355" t="s">
        <v>39</v>
      </c>
    </row>
    <row r="21" spans="1:7">
      <c r="A21" s="355" t="s">
        <v>40</v>
      </c>
    </row>
    <row r="22" spans="1:7">
      <c r="A22" s="355" t="s">
        <v>41</v>
      </c>
    </row>
    <row r="23" spans="1:7">
      <c r="A23" s="355" t="s">
        <v>42</v>
      </c>
    </row>
    <row r="24" spans="1:7">
      <c r="A24" s="355"/>
    </row>
    <row r="25" spans="1:7">
      <c r="A25" s="356" t="s">
        <v>7</v>
      </c>
    </row>
    <row r="26" spans="1:7">
      <c r="A26" s="356"/>
    </row>
    <row r="27" spans="1:7">
      <c r="A27" s="355" t="s">
        <v>8</v>
      </c>
    </row>
    <row r="28" spans="1:7">
      <c r="A28" s="355" t="s">
        <v>9</v>
      </c>
      <c r="B28" s="355"/>
      <c r="C28" s="355"/>
      <c r="D28" s="355"/>
      <c r="E28" s="355"/>
      <c r="F28" s="355"/>
    </row>
    <row r="29" spans="1:7">
      <c r="A29" s="355" t="s">
        <v>10</v>
      </c>
      <c r="B29" s="355"/>
      <c r="C29" s="355"/>
      <c r="D29" s="355"/>
      <c r="E29" s="355"/>
      <c r="F29" s="355"/>
    </row>
    <row r="30" spans="1:7">
      <c r="A30" s="355" t="s">
        <v>11</v>
      </c>
      <c r="B30" s="355"/>
      <c r="C30" s="355"/>
      <c r="D30" s="355"/>
      <c r="E30" s="355"/>
      <c r="F30" s="355"/>
    </row>
    <row r="31" spans="1:7">
      <c r="A31" s="355"/>
    </row>
    <row r="32" spans="1:7">
      <c r="A32" s="356" t="s">
        <v>12</v>
      </c>
      <c r="B32" s="356"/>
      <c r="C32" s="356"/>
      <c r="D32" s="356"/>
      <c r="E32" s="356"/>
      <c r="F32" s="356"/>
      <c r="G32" s="356"/>
    </row>
    <row r="33" spans="1:7">
      <c r="A33" s="356" t="s">
        <v>13</v>
      </c>
      <c r="B33" s="356"/>
      <c r="C33" s="356"/>
      <c r="D33" s="356"/>
      <c r="E33" s="356"/>
      <c r="F33" s="356"/>
      <c r="G33" s="356"/>
    </row>
    <row r="34" spans="1:7">
      <c r="A34" s="356"/>
      <c r="B34" s="356"/>
      <c r="C34" s="356"/>
      <c r="D34" s="356"/>
      <c r="E34" s="356"/>
      <c r="F34" s="356"/>
      <c r="G34" s="356"/>
    </row>
    <row r="35" spans="1:7">
      <c r="A35" s="355" t="s">
        <v>43</v>
      </c>
      <c r="B35" s="355"/>
      <c r="C35" s="355"/>
      <c r="D35" s="355"/>
      <c r="E35" s="355"/>
      <c r="F35" s="355"/>
      <c r="G35" s="355"/>
    </row>
    <row r="36" spans="1:7">
      <c r="A36" s="355" t="s">
        <v>44</v>
      </c>
      <c r="B36" s="355"/>
      <c r="C36" s="355"/>
      <c r="D36" s="355"/>
      <c r="E36" s="355"/>
      <c r="F36" s="355"/>
      <c r="G36" s="355"/>
    </row>
    <row r="37" spans="1:7">
      <c r="A37" s="355" t="s">
        <v>45</v>
      </c>
      <c r="B37" s="355"/>
      <c r="C37" s="355"/>
      <c r="D37" s="355"/>
      <c r="E37" s="355"/>
      <c r="F37" s="355"/>
      <c r="G37" s="355"/>
    </row>
    <row r="38" spans="1:7">
      <c r="A38" s="355" t="s">
        <v>46</v>
      </c>
      <c r="B38" s="355"/>
      <c r="C38" s="355"/>
      <c r="D38" s="355"/>
      <c r="E38" s="355"/>
      <c r="F38" s="355"/>
      <c r="G38" s="355"/>
    </row>
    <row r="39" spans="1:7">
      <c r="A39" s="355" t="s">
        <v>47</v>
      </c>
      <c r="B39" s="355"/>
      <c r="C39" s="355"/>
      <c r="D39" s="355"/>
      <c r="E39" s="355"/>
      <c r="F39" s="355"/>
      <c r="G39" s="355"/>
    </row>
    <row r="40" spans="1:7">
      <c r="A40" s="356"/>
      <c r="B40" s="356"/>
      <c r="C40" s="356"/>
      <c r="D40" s="356"/>
      <c r="E40" s="356"/>
      <c r="F40" s="356"/>
      <c r="G40" s="356"/>
    </row>
    <row r="41" spans="1:7">
      <c r="A41" s="349" t="str">
        <f ca="1">CONCATENATE("So, let's look to see if any of your ",inputPrYr!D6-1," expenditures can")</f>
        <v>So, let's look to see if any of your 2013 expenditures can</v>
      </c>
      <c r="B41" s="355"/>
      <c r="C41" s="355"/>
      <c r="D41" s="355"/>
      <c r="E41" s="355"/>
      <c r="F41" s="355"/>
    </row>
    <row r="42" spans="1:7">
      <c r="A42" s="349" t="s">
        <v>14</v>
      </c>
      <c r="B42" s="355"/>
      <c r="C42" s="355"/>
      <c r="D42" s="355"/>
      <c r="E42" s="355"/>
      <c r="F42" s="355"/>
    </row>
    <row r="43" spans="1:7">
      <c r="A43" s="349" t="s">
        <v>718</v>
      </c>
      <c r="B43" s="355"/>
      <c r="C43" s="355"/>
      <c r="D43" s="355"/>
      <c r="E43" s="355"/>
      <c r="F43" s="355"/>
    </row>
    <row r="44" spans="1:7">
      <c r="A44" s="349" t="s">
        <v>719</v>
      </c>
      <c r="B44" s="355"/>
      <c r="C44" s="355"/>
      <c r="D44" s="355"/>
      <c r="E44" s="355"/>
      <c r="F44" s="355"/>
    </row>
    <row r="45" spans="1:7">
      <c r="A45" s="355"/>
    </row>
    <row r="46" spans="1:7">
      <c r="A46" s="349" t="str">
        <f ca="1">CONCATENATE("Additionally, do your ",inputPrYr!D6-1," receipts contain a reimbursement")</f>
        <v>Additionally, do your 2013 receipts contain a reimbursement</v>
      </c>
      <c r="B46" s="355"/>
      <c r="C46" s="355"/>
      <c r="D46" s="355"/>
      <c r="E46" s="355"/>
      <c r="F46" s="355"/>
    </row>
    <row r="47" spans="1:7">
      <c r="A47" s="349" t="s">
        <v>720</v>
      </c>
      <c r="B47" s="355"/>
      <c r="C47" s="355"/>
      <c r="D47" s="355"/>
      <c r="E47" s="355"/>
      <c r="F47" s="355"/>
    </row>
    <row r="48" spans="1:7">
      <c r="A48" s="349" t="s">
        <v>721</v>
      </c>
      <c r="B48" s="355"/>
      <c r="C48" s="355"/>
      <c r="D48" s="355"/>
      <c r="E48" s="355"/>
      <c r="F48" s="355"/>
    </row>
    <row r="49" spans="1:7">
      <c r="A49" s="355"/>
      <c r="B49" s="355"/>
      <c r="C49" s="355"/>
      <c r="D49" s="355"/>
      <c r="E49" s="355"/>
      <c r="F49" s="355"/>
      <c r="G49" s="355"/>
    </row>
    <row r="50" spans="1:7">
      <c r="A50" s="355" t="s">
        <v>780</v>
      </c>
      <c r="B50" s="355"/>
      <c r="C50" s="355"/>
      <c r="D50" s="355"/>
      <c r="E50" s="355"/>
      <c r="F50" s="355"/>
      <c r="G50" s="355"/>
    </row>
    <row r="51" spans="1:7">
      <c r="A51" s="355" t="s">
        <v>781</v>
      </c>
      <c r="B51" s="355"/>
      <c r="C51" s="355"/>
      <c r="D51" s="355"/>
      <c r="E51" s="355"/>
      <c r="F51" s="355"/>
      <c r="G51" s="355"/>
    </row>
    <row r="52" spans="1:7">
      <c r="A52" s="355" t="s">
        <v>782</v>
      </c>
      <c r="B52" s="355"/>
      <c r="C52" s="355"/>
      <c r="D52" s="355"/>
      <c r="E52" s="355"/>
      <c r="F52" s="355"/>
      <c r="G52" s="355"/>
    </row>
    <row r="53" spans="1:7">
      <c r="A53" s="355" t="s">
        <v>783</v>
      </c>
      <c r="B53" s="355"/>
      <c r="C53" s="355"/>
      <c r="D53" s="355"/>
      <c r="E53" s="355"/>
      <c r="F53" s="355"/>
      <c r="G53" s="355"/>
    </row>
    <row r="54" spans="1:7">
      <c r="A54" s="355" t="s">
        <v>784</v>
      </c>
      <c r="B54" s="355"/>
      <c r="C54" s="355"/>
      <c r="D54" s="355"/>
      <c r="E54" s="355"/>
      <c r="F54" s="355"/>
      <c r="G54" s="355"/>
    </row>
    <row r="55" spans="1:7">
      <c r="A55" s="355"/>
      <c r="B55" s="355"/>
      <c r="C55" s="355"/>
      <c r="D55" s="355"/>
      <c r="E55" s="355"/>
      <c r="F55" s="355"/>
      <c r="G55" s="355"/>
    </row>
    <row r="56" spans="1:7">
      <c r="A56" s="349" t="s">
        <v>722</v>
      </c>
      <c r="B56" s="355"/>
      <c r="C56" s="355"/>
      <c r="D56" s="355"/>
      <c r="E56" s="355"/>
      <c r="F56" s="355"/>
    </row>
    <row r="57" spans="1:7">
      <c r="A57" s="349" t="s">
        <v>723</v>
      </c>
      <c r="B57" s="355"/>
      <c r="C57" s="355"/>
      <c r="D57" s="355"/>
      <c r="E57" s="355"/>
      <c r="F57" s="355"/>
    </row>
    <row r="58" spans="1:7">
      <c r="A58" s="349" t="s">
        <v>724</v>
      </c>
      <c r="B58" s="355"/>
      <c r="C58" s="355"/>
      <c r="D58" s="355"/>
      <c r="E58" s="355"/>
      <c r="F58" s="355"/>
    </row>
    <row r="59" spans="1:7">
      <c r="A59" s="349"/>
      <c r="B59" s="355"/>
      <c r="C59" s="355"/>
      <c r="D59" s="355"/>
      <c r="E59" s="355"/>
      <c r="F59" s="355"/>
    </row>
    <row r="60" spans="1:7">
      <c r="A60" s="355" t="s">
        <v>48</v>
      </c>
      <c r="B60" s="355"/>
      <c r="C60" s="355"/>
      <c r="D60" s="355"/>
      <c r="E60" s="355"/>
      <c r="F60" s="355"/>
      <c r="G60" s="355"/>
    </row>
    <row r="61" spans="1:7">
      <c r="A61" s="355" t="s">
        <v>49</v>
      </c>
      <c r="B61" s="355"/>
      <c r="C61" s="355"/>
      <c r="D61" s="355"/>
      <c r="E61" s="355"/>
      <c r="F61" s="355"/>
      <c r="G61" s="355"/>
    </row>
    <row r="62" spans="1:7">
      <c r="A62" s="355" t="s">
        <v>50</v>
      </c>
      <c r="B62" s="355"/>
      <c r="C62" s="355"/>
      <c r="D62" s="355"/>
      <c r="E62" s="355"/>
      <c r="F62" s="355"/>
      <c r="G62" s="355"/>
    </row>
    <row r="63" spans="1:7">
      <c r="A63" s="355" t="s">
        <v>51</v>
      </c>
      <c r="B63" s="355"/>
      <c r="C63" s="355"/>
      <c r="D63" s="355"/>
      <c r="E63" s="355"/>
      <c r="F63" s="355"/>
      <c r="G63" s="355"/>
    </row>
    <row r="64" spans="1:7">
      <c r="A64" s="355" t="s">
        <v>52</v>
      </c>
      <c r="B64" s="355"/>
      <c r="C64" s="355"/>
      <c r="D64" s="355"/>
      <c r="E64" s="355"/>
      <c r="F64" s="355"/>
      <c r="G64" s="355"/>
    </row>
    <row r="66" spans="1:6">
      <c r="A66" s="349" t="s">
        <v>15</v>
      </c>
      <c r="B66" s="355"/>
      <c r="C66" s="355"/>
      <c r="D66" s="355"/>
      <c r="E66" s="355"/>
      <c r="F66" s="355"/>
    </row>
    <row r="67" spans="1:6">
      <c r="A67" s="349" t="s">
        <v>16</v>
      </c>
      <c r="B67" s="355"/>
      <c r="C67" s="355"/>
      <c r="D67" s="355"/>
      <c r="E67" s="355"/>
      <c r="F67" s="355"/>
    </row>
    <row r="68" spans="1:6">
      <c r="A68" s="349" t="s">
        <v>17</v>
      </c>
      <c r="B68" s="355"/>
      <c r="C68" s="355"/>
      <c r="D68" s="355"/>
      <c r="E68" s="355"/>
      <c r="F68" s="355"/>
    </row>
    <row r="69" spans="1:6">
      <c r="A69" s="349" t="s">
        <v>18</v>
      </c>
      <c r="B69" s="355"/>
      <c r="C69" s="355"/>
      <c r="D69" s="355"/>
      <c r="E69" s="355"/>
      <c r="F69" s="355"/>
    </row>
    <row r="70" spans="1:6">
      <c r="A70" s="349" t="s">
        <v>19</v>
      </c>
      <c r="B70" s="355"/>
      <c r="C70" s="355"/>
      <c r="D70" s="355"/>
      <c r="E70" s="355"/>
      <c r="F70" s="355"/>
    </row>
    <row r="71" spans="1:6">
      <c r="A71" s="355"/>
    </row>
    <row r="72" spans="1:6">
      <c r="A72" s="355" t="s">
        <v>751</v>
      </c>
    </row>
    <row r="73" spans="1:6">
      <c r="A73" s="355"/>
    </row>
    <row r="74" spans="1:6">
      <c r="A74" s="355"/>
    </row>
    <row r="75" spans="1:6">
      <c r="A75" s="355"/>
    </row>
    <row r="78" spans="1:6">
      <c r="A78" s="356"/>
    </row>
    <row r="80" spans="1:6">
      <c r="A80" s="355"/>
    </row>
    <row r="81" spans="1:1">
      <c r="A81" s="355"/>
    </row>
    <row r="82" spans="1:1">
      <c r="A82" s="355"/>
    </row>
    <row r="83" spans="1:1">
      <c r="A83" s="355"/>
    </row>
    <row r="84" spans="1:1">
      <c r="A84" s="355"/>
    </row>
    <row r="85" spans="1:1">
      <c r="A85" s="355"/>
    </row>
    <row r="86" spans="1:1">
      <c r="A86" s="355"/>
    </row>
    <row r="87" spans="1:1">
      <c r="A87" s="355"/>
    </row>
    <row r="88" spans="1:1">
      <c r="A88" s="355"/>
    </row>
    <row r="89" spans="1:1">
      <c r="A89" s="355"/>
    </row>
    <row r="90" spans="1:1">
      <c r="A90" s="355"/>
    </row>
    <row r="92" spans="1:1">
      <c r="A92" s="355"/>
    </row>
    <row r="93" spans="1:1">
      <c r="A93" s="355"/>
    </row>
    <row r="94" spans="1:1">
      <c r="A94" s="355"/>
    </row>
    <row r="95" spans="1:1">
      <c r="A95" s="355"/>
    </row>
    <row r="96" spans="1:1">
      <c r="A96" s="355"/>
    </row>
    <row r="97" spans="1:1">
      <c r="A97" s="355"/>
    </row>
    <row r="98" spans="1:1">
      <c r="A98" s="355"/>
    </row>
    <row r="99" spans="1:1">
      <c r="A99" s="355"/>
    </row>
    <row r="100" spans="1:1">
      <c r="A100" s="355"/>
    </row>
    <row r="101" spans="1:1">
      <c r="A101" s="355"/>
    </row>
    <row r="102" spans="1:1">
      <c r="A102" s="355"/>
    </row>
    <row r="103" spans="1:1">
      <c r="A103" s="355"/>
    </row>
    <row r="104" spans="1:1">
      <c r="A104" s="355"/>
    </row>
    <row r="105" spans="1:1">
      <c r="A105" s="355"/>
    </row>
    <row r="106" spans="1:1">
      <c r="A106" s="355"/>
    </row>
  </sheetData>
  <sheetProtection sheet="1"/>
  <phoneticPr fontId="0"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54" t="s">
        <v>53</v>
      </c>
      <c r="B3" s="354"/>
      <c r="C3" s="354"/>
      <c r="D3" s="354"/>
      <c r="E3" s="354"/>
      <c r="F3" s="354"/>
      <c r="G3" s="354"/>
    </row>
    <row r="4" spans="1:7">
      <c r="A4" s="354" t="s">
        <v>54</v>
      </c>
      <c r="B4" s="354"/>
      <c r="C4" s="354"/>
      <c r="D4" s="354"/>
      <c r="E4" s="354"/>
      <c r="F4" s="354"/>
      <c r="G4" s="354"/>
    </row>
    <row r="5" spans="1:7">
      <c r="A5" s="354"/>
      <c r="B5" s="354"/>
      <c r="C5" s="354"/>
      <c r="D5" s="354"/>
      <c r="E5" s="354"/>
      <c r="F5" s="354"/>
      <c r="G5" s="354"/>
    </row>
    <row r="6" spans="1:7">
      <c r="A6" s="354"/>
      <c r="B6" s="354"/>
      <c r="C6" s="354"/>
      <c r="D6" s="354"/>
      <c r="E6" s="354"/>
      <c r="F6" s="354"/>
      <c r="G6" s="354"/>
    </row>
    <row r="7" spans="1:7">
      <c r="A7" s="355" t="s">
        <v>704</v>
      </c>
    </row>
    <row r="8" spans="1:7">
      <c r="A8" s="355" t="str">
        <f ca="1">CONCATENATE("estimated ",inputPrYr!D6," 'total expenditures' exceed your ",inputPrYr!D6,"")</f>
        <v>estimated 2014 'total expenditures' exceed your 2014</v>
      </c>
    </row>
    <row r="9" spans="1:7">
      <c r="A9" s="358" t="s">
        <v>55</v>
      </c>
    </row>
    <row r="10" spans="1:7">
      <c r="A10" s="355"/>
    </row>
    <row r="11" spans="1:7">
      <c r="A11" s="355" t="s">
        <v>56</v>
      </c>
    </row>
    <row r="12" spans="1:7">
      <c r="A12" s="355" t="s">
        <v>57</v>
      </c>
    </row>
    <row r="13" spans="1:7">
      <c r="A13" s="355" t="s">
        <v>58</v>
      </c>
    </row>
    <row r="14" spans="1:7">
      <c r="A14" s="355"/>
    </row>
    <row r="15" spans="1:7">
      <c r="A15" s="356" t="s">
        <v>300</v>
      </c>
    </row>
    <row r="16" spans="1:7">
      <c r="A16" s="354"/>
      <c r="B16" s="354"/>
      <c r="C16" s="354"/>
      <c r="D16" s="354"/>
      <c r="E16" s="354"/>
      <c r="F16" s="354"/>
      <c r="G16" s="354"/>
    </row>
    <row r="17" spans="1:8">
      <c r="A17" s="359" t="s">
        <v>301</v>
      </c>
      <c r="B17" s="351"/>
      <c r="C17" s="351"/>
      <c r="D17" s="351"/>
      <c r="E17" s="351"/>
      <c r="F17" s="351"/>
      <c r="G17" s="351"/>
      <c r="H17" s="351"/>
    </row>
    <row r="18" spans="1:8">
      <c r="A18" s="355" t="s">
        <v>302</v>
      </c>
      <c r="B18" s="360"/>
      <c r="C18" s="360"/>
      <c r="D18" s="360"/>
      <c r="E18" s="360"/>
      <c r="F18" s="360"/>
      <c r="G18" s="360"/>
    </row>
    <row r="19" spans="1:8">
      <c r="A19" s="355" t="s">
        <v>303</v>
      </c>
    </row>
    <row r="20" spans="1:8">
      <c r="A20" s="355" t="s">
        <v>304</v>
      </c>
    </row>
    <row r="22" spans="1:8">
      <c r="A22" s="356" t="s">
        <v>305</v>
      </c>
    </row>
    <row r="24" spans="1:8">
      <c r="A24" s="355" t="s">
        <v>306</v>
      </c>
    </row>
    <row r="25" spans="1:8">
      <c r="A25" s="355" t="s">
        <v>307</v>
      </c>
    </row>
    <row r="26" spans="1:8">
      <c r="A26" s="355" t="s">
        <v>308</v>
      </c>
    </row>
    <row r="28" spans="1:8">
      <c r="A28" s="356" t="s">
        <v>309</v>
      </c>
    </row>
    <row r="30" spans="1:8">
      <c r="A30" t="s">
        <v>310</v>
      </c>
    </row>
    <row r="31" spans="1:8">
      <c r="A31" t="s">
        <v>311</v>
      </c>
    </row>
    <row r="32" spans="1:8">
      <c r="A32" t="s">
        <v>312</v>
      </c>
    </row>
    <row r="33" spans="1:1">
      <c r="A33" s="355" t="s">
        <v>313</v>
      </c>
    </row>
    <row r="35" spans="1:1">
      <c r="A35" t="s">
        <v>314</v>
      </c>
    </row>
    <row r="36" spans="1:1">
      <c r="A36" t="s">
        <v>315</v>
      </c>
    </row>
    <row r="37" spans="1:1">
      <c r="A37" t="s">
        <v>316</v>
      </c>
    </row>
    <row r="38" spans="1:1">
      <c r="A38" t="s">
        <v>317</v>
      </c>
    </row>
    <row r="40" spans="1:1">
      <c r="A40" t="s">
        <v>318</v>
      </c>
    </row>
    <row r="41" spans="1:1">
      <c r="A41" t="s">
        <v>319</v>
      </c>
    </row>
    <row r="42" spans="1:1">
      <c r="A42" t="s">
        <v>320</v>
      </c>
    </row>
    <row r="43" spans="1:1">
      <c r="A43" t="s">
        <v>321</v>
      </c>
    </row>
    <row r="44" spans="1:1">
      <c r="A44" t="s">
        <v>322</v>
      </c>
    </row>
    <row r="45" spans="1:1">
      <c r="A45" t="s">
        <v>323</v>
      </c>
    </row>
    <row r="47" spans="1:1">
      <c r="A47" t="s">
        <v>324</v>
      </c>
    </row>
    <row r="48" spans="1:1">
      <c r="A48" t="s">
        <v>325</v>
      </c>
    </row>
    <row r="49" spans="1:1">
      <c r="A49" s="355" t="s">
        <v>326</v>
      </c>
    </row>
    <row r="50" spans="1:1">
      <c r="A50" s="355" t="s">
        <v>327</v>
      </c>
    </row>
    <row r="52" spans="1:1">
      <c r="A52" t="s">
        <v>751</v>
      </c>
    </row>
  </sheetData>
  <sheetProtection sheet="1"/>
  <phoneticPr fontId="0"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394" customWidth="1"/>
    <col min="2" max="2" width="11.21875" style="395" customWidth="1"/>
    <col min="3" max="3" width="7.44140625" style="395" customWidth="1"/>
    <col min="4" max="4" width="8.88671875" style="395"/>
    <col min="5" max="5" width="1.5546875" style="395" customWidth="1"/>
    <col min="6" max="6" width="14.33203125" style="395" customWidth="1"/>
    <col min="7" max="7" width="2.5546875" style="395" customWidth="1"/>
    <col min="8" max="8" width="9.77734375" style="395" customWidth="1"/>
    <col min="9" max="9" width="2" style="395" customWidth="1"/>
    <col min="10" max="10" width="8.5546875" style="395" customWidth="1"/>
    <col min="11" max="11" width="11.6640625" style="395" customWidth="1"/>
    <col min="12" max="12" width="7.5546875" style="394" customWidth="1"/>
    <col min="13" max="14" width="8.88671875" style="394"/>
    <col min="15" max="15" width="9.88671875" style="394" bestFit="1" customWidth="1"/>
    <col min="16" max="16384" width="8.88671875" style="394"/>
  </cols>
  <sheetData>
    <row r="1" spans="1:12">
      <c r="A1" s="393"/>
      <c r="B1" s="393"/>
      <c r="C1" s="393"/>
      <c r="D1" s="393"/>
      <c r="E1" s="393"/>
      <c r="F1" s="393"/>
      <c r="G1" s="393"/>
      <c r="H1" s="393"/>
      <c r="I1" s="393"/>
      <c r="J1" s="393"/>
      <c r="K1" s="393"/>
      <c r="L1" s="393"/>
    </row>
    <row r="2" spans="1:12">
      <c r="A2" s="393"/>
      <c r="B2" s="393"/>
      <c r="C2" s="393"/>
      <c r="D2" s="393"/>
      <c r="E2" s="393"/>
      <c r="F2" s="393"/>
      <c r="G2" s="393"/>
      <c r="H2" s="393"/>
      <c r="I2" s="393"/>
      <c r="J2" s="393"/>
      <c r="K2" s="393"/>
      <c r="L2" s="393"/>
    </row>
    <row r="3" spans="1:12">
      <c r="A3" s="393"/>
      <c r="B3" s="393"/>
      <c r="C3" s="393"/>
      <c r="D3" s="393"/>
      <c r="E3" s="393"/>
      <c r="F3" s="393"/>
      <c r="G3" s="393"/>
      <c r="H3" s="393"/>
      <c r="I3" s="393"/>
      <c r="J3" s="393"/>
      <c r="K3" s="393"/>
      <c r="L3" s="393"/>
    </row>
    <row r="4" spans="1:12">
      <c r="A4" s="393"/>
      <c r="L4" s="393"/>
    </row>
    <row r="5" spans="1:12" ht="15" customHeight="1">
      <c r="A5" s="393"/>
      <c r="L5" s="393"/>
    </row>
    <row r="6" spans="1:12" ht="33" customHeight="1">
      <c r="A6" s="393"/>
      <c r="B6" s="736" t="s">
        <v>108</v>
      </c>
      <c r="C6" s="737"/>
      <c r="D6" s="737"/>
      <c r="E6" s="737"/>
      <c r="F6" s="737"/>
      <c r="G6" s="737"/>
      <c r="H6" s="737"/>
      <c r="I6" s="737"/>
      <c r="J6" s="737"/>
      <c r="K6" s="737"/>
      <c r="L6" s="396"/>
    </row>
    <row r="7" spans="1:12" ht="40.5" customHeight="1">
      <c r="A7" s="393"/>
      <c r="B7" s="738" t="s">
        <v>109</v>
      </c>
      <c r="C7" s="739"/>
      <c r="D7" s="739"/>
      <c r="E7" s="739"/>
      <c r="F7" s="739"/>
      <c r="G7" s="739"/>
      <c r="H7" s="739"/>
      <c r="I7" s="739"/>
      <c r="J7" s="739"/>
      <c r="K7" s="739"/>
      <c r="L7" s="393"/>
    </row>
    <row r="8" spans="1:12">
      <c r="A8" s="393"/>
      <c r="B8" s="730" t="s">
        <v>110</v>
      </c>
      <c r="C8" s="730"/>
      <c r="D8" s="730"/>
      <c r="E8" s="730"/>
      <c r="F8" s="730"/>
      <c r="G8" s="730"/>
      <c r="H8" s="730"/>
      <c r="I8" s="730"/>
      <c r="J8" s="730"/>
      <c r="K8" s="730"/>
      <c r="L8" s="393"/>
    </row>
    <row r="9" spans="1:12">
      <c r="A9" s="393"/>
      <c r="L9" s="393"/>
    </row>
    <row r="10" spans="1:12">
      <c r="A10" s="393"/>
      <c r="B10" s="730" t="s">
        <v>111</v>
      </c>
      <c r="C10" s="730"/>
      <c r="D10" s="730"/>
      <c r="E10" s="730"/>
      <c r="F10" s="730"/>
      <c r="G10" s="730"/>
      <c r="H10" s="730"/>
      <c r="I10" s="730"/>
      <c r="J10" s="730"/>
      <c r="K10" s="730"/>
      <c r="L10" s="393"/>
    </row>
    <row r="11" spans="1:12">
      <c r="A11" s="393"/>
      <c r="B11" s="532"/>
      <c r="C11" s="532"/>
      <c r="D11" s="532"/>
      <c r="E11" s="532"/>
      <c r="F11" s="532"/>
      <c r="G11" s="532"/>
      <c r="H11" s="532"/>
      <c r="I11" s="532"/>
      <c r="J11" s="532"/>
      <c r="K11" s="532"/>
      <c r="L11" s="393"/>
    </row>
    <row r="12" spans="1:12" ht="32.25" customHeight="1">
      <c r="A12" s="393"/>
      <c r="B12" s="731" t="s">
        <v>112</v>
      </c>
      <c r="C12" s="731"/>
      <c r="D12" s="731"/>
      <c r="E12" s="731"/>
      <c r="F12" s="731"/>
      <c r="G12" s="731"/>
      <c r="H12" s="731"/>
      <c r="I12" s="731"/>
      <c r="J12" s="731"/>
      <c r="K12" s="731"/>
      <c r="L12" s="393"/>
    </row>
    <row r="13" spans="1:12">
      <c r="A13" s="393"/>
      <c r="L13" s="393"/>
    </row>
    <row r="14" spans="1:12">
      <c r="A14" s="393"/>
      <c r="B14" s="397" t="s">
        <v>113</v>
      </c>
      <c r="L14" s="393"/>
    </row>
    <row r="15" spans="1:12">
      <c r="A15" s="393"/>
      <c r="L15" s="393"/>
    </row>
    <row r="16" spans="1:12">
      <c r="A16" s="393"/>
      <c r="B16" s="395" t="s">
        <v>114</v>
      </c>
      <c r="L16" s="393"/>
    </row>
    <row r="17" spans="1:12">
      <c r="A17" s="393"/>
      <c r="B17" s="395" t="s">
        <v>115</v>
      </c>
      <c r="L17" s="393"/>
    </row>
    <row r="18" spans="1:12">
      <c r="A18" s="393"/>
      <c r="L18" s="393"/>
    </row>
    <row r="19" spans="1:12">
      <c r="A19" s="393"/>
      <c r="B19" s="397" t="s">
        <v>241</v>
      </c>
      <c r="L19" s="393"/>
    </row>
    <row r="20" spans="1:12">
      <c r="A20" s="393"/>
      <c r="B20" s="397"/>
      <c r="L20" s="393"/>
    </row>
    <row r="21" spans="1:12">
      <c r="A21" s="393"/>
      <c r="B21" s="395" t="s">
        <v>242</v>
      </c>
      <c r="L21" s="393"/>
    </row>
    <row r="22" spans="1:12">
      <c r="A22" s="393"/>
      <c r="L22" s="393"/>
    </row>
    <row r="23" spans="1:12">
      <c r="A23" s="393"/>
      <c r="B23" s="395" t="s">
        <v>116</v>
      </c>
      <c r="E23" s="395" t="s">
        <v>117</v>
      </c>
      <c r="F23" s="727">
        <v>312000000</v>
      </c>
      <c r="G23" s="727"/>
      <c r="L23" s="393"/>
    </row>
    <row r="24" spans="1:12">
      <c r="A24" s="393"/>
      <c r="L24" s="393"/>
    </row>
    <row r="25" spans="1:12">
      <c r="A25" s="393"/>
      <c r="C25" s="734">
        <f>F23</f>
        <v>312000000</v>
      </c>
      <c r="D25" s="734"/>
      <c r="E25" s="395" t="s">
        <v>118</v>
      </c>
      <c r="F25" s="398">
        <v>1000</v>
      </c>
      <c r="G25" s="398" t="s">
        <v>117</v>
      </c>
      <c r="H25" s="533">
        <f>F23/F25</f>
        <v>312000</v>
      </c>
      <c r="L25" s="393"/>
    </row>
    <row r="26" spans="1:12" ht="15" thickBot="1">
      <c r="A26" s="393"/>
      <c r="L26" s="393"/>
    </row>
    <row r="27" spans="1:12">
      <c r="A27" s="393"/>
      <c r="B27" s="399" t="s">
        <v>113</v>
      </c>
      <c r="C27" s="400"/>
      <c r="D27" s="400"/>
      <c r="E27" s="400"/>
      <c r="F27" s="400"/>
      <c r="G27" s="400"/>
      <c r="H27" s="400"/>
      <c r="I27" s="400"/>
      <c r="J27" s="400"/>
      <c r="K27" s="401"/>
      <c r="L27" s="393"/>
    </row>
    <row r="28" spans="1:12">
      <c r="A28" s="393"/>
      <c r="B28" s="402">
        <f>F23</f>
        <v>312000000</v>
      </c>
      <c r="C28" s="403" t="s">
        <v>119</v>
      </c>
      <c r="D28" s="403"/>
      <c r="E28" s="403" t="s">
        <v>118</v>
      </c>
      <c r="F28" s="528">
        <v>1000</v>
      </c>
      <c r="G28" s="528" t="s">
        <v>117</v>
      </c>
      <c r="H28" s="404">
        <f>B28/F28</f>
        <v>312000</v>
      </c>
      <c r="I28" s="403" t="s">
        <v>120</v>
      </c>
      <c r="J28" s="403"/>
      <c r="K28" s="405"/>
      <c r="L28" s="393"/>
    </row>
    <row r="29" spans="1:12" ht="15" thickBot="1">
      <c r="A29" s="393"/>
      <c r="B29" s="406"/>
      <c r="C29" s="407"/>
      <c r="D29" s="407"/>
      <c r="E29" s="407"/>
      <c r="F29" s="407"/>
      <c r="G29" s="407"/>
      <c r="H29" s="407"/>
      <c r="I29" s="407"/>
      <c r="J29" s="407"/>
      <c r="K29" s="408"/>
      <c r="L29" s="393"/>
    </row>
    <row r="30" spans="1:12" ht="40.5" customHeight="1">
      <c r="A30" s="393"/>
      <c r="B30" s="735" t="s">
        <v>109</v>
      </c>
      <c r="C30" s="735"/>
      <c r="D30" s="735"/>
      <c r="E30" s="735"/>
      <c r="F30" s="735"/>
      <c r="G30" s="735"/>
      <c r="H30" s="735"/>
      <c r="I30" s="735"/>
      <c r="J30" s="735"/>
      <c r="K30" s="735"/>
      <c r="L30" s="393"/>
    </row>
    <row r="31" spans="1:12">
      <c r="A31" s="393"/>
      <c r="B31" s="730" t="s">
        <v>121</v>
      </c>
      <c r="C31" s="730"/>
      <c r="D31" s="730"/>
      <c r="E31" s="730"/>
      <c r="F31" s="730"/>
      <c r="G31" s="730"/>
      <c r="H31" s="730"/>
      <c r="I31" s="730"/>
      <c r="J31" s="730"/>
      <c r="K31" s="730"/>
      <c r="L31" s="393"/>
    </row>
    <row r="32" spans="1:12">
      <c r="A32" s="393"/>
      <c r="L32" s="393"/>
    </row>
    <row r="33" spans="1:12">
      <c r="A33" s="393"/>
      <c r="B33" s="730" t="s">
        <v>122</v>
      </c>
      <c r="C33" s="730"/>
      <c r="D33" s="730"/>
      <c r="E33" s="730"/>
      <c r="F33" s="730"/>
      <c r="G33" s="730"/>
      <c r="H33" s="730"/>
      <c r="I33" s="730"/>
      <c r="J33" s="730"/>
      <c r="K33" s="730"/>
      <c r="L33" s="393"/>
    </row>
    <row r="34" spans="1:12">
      <c r="A34" s="393"/>
      <c r="L34" s="393"/>
    </row>
    <row r="35" spans="1:12" ht="89.25" customHeight="1">
      <c r="A35" s="393"/>
      <c r="B35" s="731" t="s">
        <v>123</v>
      </c>
      <c r="C35" s="732"/>
      <c r="D35" s="732"/>
      <c r="E35" s="732"/>
      <c r="F35" s="732"/>
      <c r="G35" s="732"/>
      <c r="H35" s="732"/>
      <c r="I35" s="732"/>
      <c r="J35" s="732"/>
      <c r="K35" s="732"/>
      <c r="L35" s="393"/>
    </row>
    <row r="36" spans="1:12">
      <c r="A36" s="393"/>
      <c r="L36" s="393"/>
    </row>
    <row r="37" spans="1:12">
      <c r="A37" s="393"/>
      <c r="B37" s="397" t="s">
        <v>124</v>
      </c>
      <c r="L37" s="393"/>
    </row>
    <row r="38" spans="1:12">
      <c r="A38" s="393"/>
      <c r="L38" s="393"/>
    </row>
    <row r="39" spans="1:12">
      <c r="A39" s="393"/>
      <c r="B39" s="395" t="s">
        <v>125</v>
      </c>
      <c r="L39" s="393"/>
    </row>
    <row r="40" spans="1:12">
      <c r="A40" s="393"/>
      <c r="L40" s="393"/>
    </row>
    <row r="41" spans="1:12">
      <c r="A41" s="393"/>
      <c r="C41" s="733">
        <v>312000000</v>
      </c>
      <c r="D41" s="733"/>
      <c r="E41" s="395" t="s">
        <v>118</v>
      </c>
      <c r="F41" s="398">
        <v>1000</v>
      </c>
      <c r="G41" s="398" t="s">
        <v>117</v>
      </c>
      <c r="H41" s="409">
        <f>C41/F41</f>
        <v>312000</v>
      </c>
      <c r="L41" s="393"/>
    </row>
    <row r="42" spans="1:12">
      <c r="A42" s="393"/>
      <c r="L42" s="393"/>
    </row>
    <row r="43" spans="1:12">
      <c r="A43" s="393"/>
      <c r="B43" s="395" t="s">
        <v>126</v>
      </c>
      <c r="L43" s="393"/>
    </row>
    <row r="44" spans="1:12">
      <c r="A44" s="393"/>
      <c r="L44" s="393"/>
    </row>
    <row r="45" spans="1:12">
      <c r="A45" s="393"/>
      <c r="B45" s="395" t="s">
        <v>127</v>
      </c>
      <c r="L45" s="393"/>
    </row>
    <row r="46" spans="1:12" ht="15" thickBot="1">
      <c r="A46" s="393"/>
      <c r="L46" s="393"/>
    </row>
    <row r="47" spans="1:12">
      <c r="A47" s="393"/>
      <c r="B47" s="410" t="s">
        <v>113</v>
      </c>
      <c r="C47" s="400"/>
      <c r="D47" s="400"/>
      <c r="E47" s="400"/>
      <c r="F47" s="400"/>
      <c r="G47" s="400"/>
      <c r="H47" s="400"/>
      <c r="I47" s="400"/>
      <c r="J47" s="400"/>
      <c r="K47" s="401"/>
      <c r="L47" s="393"/>
    </row>
    <row r="48" spans="1:12">
      <c r="A48" s="393"/>
      <c r="B48" s="726">
        <v>312000000</v>
      </c>
      <c r="C48" s="727"/>
      <c r="D48" s="403" t="s">
        <v>128</v>
      </c>
      <c r="E48" s="403" t="s">
        <v>118</v>
      </c>
      <c r="F48" s="528">
        <v>1000</v>
      </c>
      <c r="G48" s="528" t="s">
        <v>117</v>
      </c>
      <c r="H48" s="404">
        <f>B48/F48</f>
        <v>312000</v>
      </c>
      <c r="I48" s="403" t="s">
        <v>129</v>
      </c>
      <c r="J48" s="403"/>
      <c r="K48" s="405"/>
      <c r="L48" s="393"/>
    </row>
    <row r="49" spans="1:24">
      <c r="A49" s="393"/>
      <c r="B49" s="411"/>
      <c r="C49" s="403"/>
      <c r="D49" s="403"/>
      <c r="E49" s="403"/>
      <c r="F49" s="403"/>
      <c r="G49" s="403"/>
      <c r="H49" s="403"/>
      <c r="I49" s="403"/>
      <c r="J49" s="403"/>
      <c r="K49" s="405"/>
      <c r="L49" s="393"/>
    </row>
    <row r="50" spans="1:24">
      <c r="A50" s="393"/>
      <c r="B50" s="412">
        <v>50000</v>
      </c>
      <c r="C50" s="403" t="s">
        <v>130</v>
      </c>
      <c r="D50" s="403"/>
      <c r="E50" s="403" t="s">
        <v>118</v>
      </c>
      <c r="F50" s="404">
        <f>H48</f>
        <v>312000</v>
      </c>
      <c r="G50" s="728" t="s">
        <v>131</v>
      </c>
      <c r="H50" s="729"/>
      <c r="I50" s="528" t="s">
        <v>117</v>
      </c>
      <c r="J50" s="413">
        <f>B50/F50</f>
        <v>0.16025641025641027</v>
      </c>
      <c r="K50" s="405"/>
      <c r="L50" s="393"/>
    </row>
    <row r="51" spans="1:24" ht="15" thickBot="1">
      <c r="A51" s="393"/>
      <c r="B51" s="406"/>
      <c r="C51" s="407"/>
      <c r="D51" s="407"/>
      <c r="E51" s="407"/>
      <c r="F51" s="407"/>
      <c r="G51" s="407"/>
      <c r="H51" s="407"/>
      <c r="I51" s="740" t="s">
        <v>132</v>
      </c>
      <c r="J51" s="740"/>
      <c r="K51" s="741"/>
      <c r="L51" s="393"/>
      <c r="O51" s="414"/>
    </row>
    <row r="52" spans="1:24" ht="40.5" customHeight="1">
      <c r="A52" s="393"/>
      <c r="B52" s="735" t="s">
        <v>109</v>
      </c>
      <c r="C52" s="735"/>
      <c r="D52" s="735"/>
      <c r="E52" s="735"/>
      <c r="F52" s="735"/>
      <c r="G52" s="735"/>
      <c r="H52" s="735"/>
      <c r="I52" s="735"/>
      <c r="J52" s="735"/>
      <c r="K52" s="735"/>
      <c r="L52" s="393"/>
    </row>
    <row r="53" spans="1:24">
      <c r="A53" s="393"/>
      <c r="B53" s="730" t="s">
        <v>133</v>
      </c>
      <c r="C53" s="730"/>
      <c r="D53" s="730"/>
      <c r="E53" s="730"/>
      <c r="F53" s="730"/>
      <c r="G53" s="730"/>
      <c r="H53" s="730"/>
      <c r="I53" s="730"/>
      <c r="J53" s="730"/>
      <c r="K53" s="730"/>
      <c r="L53" s="393"/>
    </row>
    <row r="54" spans="1:24">
      <c r="A54" s="393"/>
      <c r="B54" s="532"/>
      <c r="C54" s="532"/>
      <c r="D54" s="532"/>
      <c r="E54" s="532"/>
      <c r="F54" s="532"/>
      <c r="G54" s="532"/>
      <c r="H54" s="532"/>
      <c r="I54" s="532"/>
      <c r="J54" s="532"/>
      <c r="K54" s="532"/>
      <c r="L54" s="393"/>
    </row>
    <row r="55" spans="1:24">
      <c r="A55" s="393"/>
      <c r="B55" s="736" t="s">
        <v>134</v>
      </c>
      <c r="C55" s="736"/>
      <c r="D55" s="736"/>
      <c r="E55" s="736"/>
      <c r="F55" s="736"/>
      <c r="G55" s="736"/>
      <c r="H55" s="736"/>
      <c r="I55" s="736"/>
      <c r="J55" s="736"/>
      <c r="K55" s="736"/>
      <c r="L55" s="393"/>
    </row>
    <row r="56" spans="1:24" ht="15" customHeight="1">
      <c r="A56" s="393"/>
      <c r="L56" s="393"/>
    </row>
    <row r="57" spans="1:24" ht="74.25" customHeight="1">
      <c r="A57" s="393"/>
      <c r="B57" s="731" t="s">
        <v>135</v>
      </c>
      <c r="C57" s="732"/>
      <c r="D57" s="732"/>
      <c r="E57" s="732"/>
      <c r="F57" s="732"/>
      <c r="G57" s="732"/>
      <c r="H57" s="732"/>
      <c r="I57" s="732"/>
      <c r="J57" s="732"/>
      <c r="K57" s="732"/>
      <c r="L57" s="393"/>
      <c r="M57" s="415"/>
      <c r="N57" s="416"/>
      <c r="O57" s="416"/>
      <c r="P57" s="416"/>
      <c r="Q57" s="416"/>
      <c r="R57" s="416"/>
      <c r="S57" s="416"/>
      <c r="T57" s="416"/>
      <c r="U57" s="416"/>
      <c r="V57" s="416"/>
      <c r="W57" s="416"/>
      <c r="X57" s="416"/>
    </row>
    <row r="58" spans="1:24" ht="15" customHeight="1">
      <c r="A58" s="393"/>
      <c r="B58" s="731"/>
      <c r="C58" s="732"/>
      <c r="D58" s="732"/>
      <c r="E58" s="732"/>
      <c r="F58" s="732"/>
      <c r="G58" s="732"/>
      <c r="H58" s="732"/>
      <c r="I58" s="732"/>
      <c r="J58" s="732"/>
      <c r="K58" s="732"/>
      <c r="L58" s="393"/>
      <c r="M58" s="415"/>
      <c r="N58" s="416"/>
      <c r="O58" s="416"/>
      <c r="P58" s="416"/>
      <c r="Q58" s="416"/>
      <c r="R58" s="416"/>
      <c r="S58" s="416"/>
      <c r="T58" s="416"/>
      <c r="U58" s="416"/>
      <c r="V58" s="416"/>
      <c r="W58" s="416"/>
      <c r="X58" s="416"/>
    </row>
    <row r="59" spans="1:24">
      <c r="A59" s="393"/>
      <c r="B59" s="397" t="s">
        <v>124</v>
      </c>
      <c r="L59" s="393"/>
      <c r="M59" s="416"/>
      <c r="N59" s="416"/>
      <c r="O59" s="416"/>
      <c r="P59" s="416"/>
      <c r="Q59" s="416"/>
      <c r="R59" s="416"/>
      <c r="S59" s="416"/>
      <c r="T59" s="416"/>
      <c r="U59" s="416"/>
      <c r="V59" s="416"/>
      <c r="W59" s="416"/>
      <c r="X59" s="416"/>
    </row>
    <row r="60" spans="1:24">
      <c r="A60" s="393"/>
      <c r="L60" s="393"/>
      <c r="M60" s="416"/>
      <c r="N60" s="416"/>
      <c r="O60" s="416"/>
      <c r="P60" s="416"/>
      <c r="Q60" s="416"/>
      <c r="R60" s="416"/>
      <c r="S60" s="416"/>
      <c r="T60" s="416"/>
      <c r="U60" s="416"/>
      <c r="V60" s="416"/>
      <c r="W60" s="416"/>
      <c r="X60" s="416"/>
    </row>
    <row r="61" spans="1:24">
      <c r="A61" s="393"/>
      <c r="B61" s="395" t="s">
        <v>136</v>
      </c>
      <c r="L61" s="393"/>
      <c r="M61" s="416"/>
      <c r="N61" s="416"/>
      <c r="O61" s="416"/>
      <c r="P61" s="416"/>
      <c r="Q61" s="416"/>
      <c r="R61" s="416"/>
      <c r="S61" s="416"/>
      <c r="T61" s="416"/>
      <c r="U61" s="416"/>
      <c r="V61" s="416"/>
      <c r="W61" s="416"/>
      <c r="X61" s="416"/>
    </row>
    <row r="62" spans="1:24">
      <c r="A62" s="393"/>
      <c r="B62" s="395" t="s">
        <v>243</v>
      </c>
      <c r="L62" s="393"/>
      <c r="M62" s="416"/>
      <c r="N62" s="416"/>
      <c r="O62" s="416"/>
      <c r="P62" s="416"/>
      <c r="Q62" s="416"/>
      <c r="R62" s="416"/>
      <c r="S62" s="416"/>
      <c r="T62" s="416"/>
      <c r="U62" s="416"/>
      <c r="V62" s="416"/>
      <c r="W62" s="416"/>
      <c r="X62" s="416"/>
    </row>
    <row r="63" spans="1:24">
      <c r="A63" s="393"/>
      <c r="B63" s="395" t="s">
        <v>244</v>
      </c>
      <c r="L63" s="393"/>
      <c r="M63" s="416"/>
      <c r="N63" s="416"/>
      <c r="O63" s="416"/>
      <c r="P63" s="416"/>
      <c r="Q63" s="416"/>
      <c r="R63" s="416"/>
      <c r="S63" s="416"/>
      <c r="T63" s="416"/>
      <c r="U63" s="416"/>
      <c r="V63" s="416"/>
      <c r="W63" s="416"/>
      <c r="X63" s="416"/>
    </row>
    <row r="64" spans="1:24">
      <c r="A64" s="393"/>
      <c r="L64" s="393"/>
      <c r="M64" s="416"/>
      <c r="N64" s="416"/>
      <c r="O64" s="416"/>
      <c r="P64" s="416"/>
      <c r="Q64" s="416"/>
      <c r="R64" s="416"/>
      <c r="S64" s="416"/>
      <c r="T64" s="416"/>
      <c r="U64" s="416"/>
      <c r="V64" s="416"/>
      <c r="W64" s="416"/>
      <c r="X64" s="416"/>
    </row>
    <row r="65" spans="1:24">
      <c r="A65" s="393"/>
      <c r="B65" s="395" t="s">
        <v>137</v>
      </c>
      <c r="L65" s="393"/>
      <c r="M65" s="416"/>
      <c r="N65" s="416"/>
      <c r="O65" s="416"/>
      <c r="P65" s="416"/>
      <c r="Q65" s="416"/>
      <c r="R65" s="416"/>
      <c r="S65" s="416"/>
      <c r="T65" s="416"/>
      <c r="U65" s="416"/>
      <c r="V65" s="416"/>
      <c r="W65" s="416"/>
      <c r="X65" s="416"/>
    </row>
    <row r="66" spans="1:24">
      <c r="A66" s="393"/>
      <c r="B66" s="395" t="s">
        <v>138</v>
      </c>
      <c r="L66" s="393"/>
      <c r="M66" s="416"/>
      <c r="N66" s="416"/>
      <c r="O66" s="416"/>
      <c r="P66" s="416"/>
      <c r="Q66" s="416"/>
      <c r="R66" s="416"/>
      <c r="S66" s="416"/>
      <c r="T66" s="416"/>
      <c r="U66" s="416"/>
      <c r="V66" s="416"/>
      <c r="W66" s="416"/>
      <c r="X66" s="416"/>
    </row>
    <row r="67" spans="1:24">
      <c r="A67" s="393"/>
      <c r="L67" s="393"/>
      <c r="M67" s="416"/>
      <c r="N67" s="416"/>
      <c r="O67" s="416"/>
      <c r="P67" s="416"/>
      <c r="Q67" s="416"/>
      <c r="R67" s="416"/>
      <c r="S67" s="416"/>
      <c r="T67" s="416"/>
      <c r="U67" s="416"/>
      <c r="V67" s="416"/>
      <c r="W67" s="416"/>
      <c r="X67" s="416"/>
    </row>
    <row r="68" spans="1:24">
      <c r="A68" s="393"/>
      <c r="B68" s="395" t="s">
        <v>139</v>
      </c>
      <c r="L68" s="393"/>
      <c r="M68" s="417"/>
      <c r="N68" s="418"/>
      <c r="O68" s="418"/>
      <c r="P68" s="418"/>
      <c r="Q68" s="418"/>
      <c r="R68" s="418"/>
      <c r="S68" s="418"/>
      <c r="T68" s="418"/>
      <c r="U68" s="418"/>
      <c r="V68" s="418"/>
      <c r="W68" s="418"/>
      <c r="X68" s="416"/>
    </row>
    <row r="69" spans="1:24">
      <c r="A69" s="393"/>
      <c r="B69" s="395" t="s">
        <v>245</v>
      </c>
      <c r="L69" s="393"/>
      <c r="M69" s="416"/>
      <c r="N69" s="416"/>
      <c r="O69" s="416"/>
      <c r="P69" s="416"/>
      <c r="Q69" s="416"/>
      <c r="R69" s="416"/>
      <c r="S69" s="416"/>
      <c r="T69" s="416"/>
      <c r="U69" s="416"/>
      <c r="V69" s="416"/>
      <c r="W69" s="416"/>
      <c r="X69" s="416"/>
    </row>
    <row r="70" spans="1:24">
      <c r="A70" s="393"/>
      <c r="B70" s="395" t="s">
        <v>246</v>
      </c>
      <c r="L70" s="393"/>
      <c r="M70" s="416"/>
      <c r="N70" s="416"/>
      <c r="O70" s="416"/>
      <c r="P70" s="416"/>
      <c r="Q70" s="416"/>
      <c r="R70" s="416"/>
      <c r="S70" s="416"/>
      <c r="T70" s="416"/>
      <c r="U70" s="416"/>
      <c r="V70" s="416"/>
      <c r="W70" s="416"/>
      <c r="X70" s="416"/>
    </row>
    <row r="71" spans="1:24" ht="15" thickBot="1">
      <c r="A71" s="393"/>
      <c r="B71" s="403"/>
      <c r="C71" s="403"/>
      <c r="D71" s="403"/>
      <c r="E71" s="403"/>
      <c r="F71" s="403"/>
      <c r="G71" s="403"/>
      <c r="H71" s="403"/>
      <c r="I71" s="403"/>
      <c r="J71" s="403"/>
      <c r="K71" s="403"/>
      <c r="L71" s="393"/>
    </row>
    <row r="72" spans="1:24">
      <c r="A72" s="393"/>
      <c r="B72" s="399" t="s">
        <v>113</v>
      </c>
      <c r="C72" s="400"/>
      <c r="D72" s="400"/>
      <c r="E72" s="400"/>
      <c r="F72" s="400"/>
      <c r="G72" s="400"/>
      <c r="H72" s="400"/>
      <c r="I72" s="400"/>
      <c r="J72" s="400"/>
      <c r="K72" s="401"/>
      <c r="L72" s="419"/>
    </row>
    <row r="73" spans="1:24">
      <c r="A73" s="393"/>
      <c r="B73" s="411"/>
      <c r="C73" s="403" t="s">
        <v>119</v>
      </c>
      <c r="D73" s="403"/>
      <c r="E73" s="403"/>
      <c r="F73" s="403"/>
      <c r="G73" s="403"/>
      <c r="H73" s="403"/>
      <c r="I73" s="403"/>
      <c r="J73" s="403"/>
      <c r="K73" s="405"/>
      <c r="L73" s="419"/>
    </row>
    <row r="74" spans="1:24">
      <c r="A74" s="393"/>
      <c r="B74" s="411" t="s">
        <v>140</v>
      </c>
      <c r="C74" s="727">
        <v>312000000</v>
      </c>
      <c r="D74" s="727"/>
      <c r="E74" s="528" t="s">
        <v>118</v>
      </c>
      <c r="F74" s="528">
        <v>1000</v>
      </c>
      <c r="G74" s="528" t="s">
        <v>117</v>
      </c>
      <c r="H74" s="525">
        <f>C74/F74</f>
        <v>312000</v>
      </c>
      <c r="I74" s="403" t="s">
        <v>141</v>
      </c>
      <c r="J74" s="403"/>
      <c r="K74" s="405"/>
      <c r="L74" s="419"/>
    </row>
    <row r="75" spans="1:24">
      <c r="A75" s="393"/>
      <c r="B75" s="411"/>
      <c r="C75" s="403"/>
      <c r="D75" s="403"/>
      <c r="E75" s="528"/>
      <c r="F75" s="403"/>
      <c r="G75" s="403"/>
      <c r="H75" s="403"/>
      <c r="I75" s="403"/>
      <c r="J75" s="403"/>
      <c r="K75" s="405"/>
      <c r="L75" s="419"/>
    </row>
    <row r="76" spans="1:24">
      <c r="A76" s="393"/>
      <c r="B76" s="411"/>
      <c r="C76" s="403" t="s">
        <v>142</v>
      </c>
      <c r="D76" s="403"/>
      <c r="E76" s="528"/>
      <c r="F76" s="403" t="s">
        <v>141</v>
      </c>
      <c r="G76" s="403"/>
      <c r="H76" s="403"/>
      <c r="I76" s="403"/>
      <c r="J76" s="403"/>
      <c r="K76" s="405"/>
      <c r="L76" s="419"/>
    </row>
    <row r="77" spans="1:24">
      <c r="A77" s="393"/>
      <c r="B77" s="411" t="s">
        <v>143</v>
      </c>
      <c r="C77" s="727">
        <v>50000</v>
      </c>
      <c r="D77" s="727"/>
      <c r="E77" s="528" t="s">
        <v>118</v>
      </c>
      <c r="F77" s="525">
        <f>H74</f>
        <v>312000</v>
      </c>
      <c r="G77" s="528" t="s">
        <v>117</v>
      </c>
      <c r="H77" s="413">
        <f>C77/F77</f>
        <v>0.16025641025641027</v>
      </c>
      <c r="I77" s="403" t="s">
        <v>144</v>
      </c>
      <c r="J77" s="403"/>
      <c r="K77" s="405"/>
      <c r="L77" s="419"/>
    </row>
    <row r="78" spans="1:24">
      <c r="A78" s="393"/>
      <c r="B78" s="411"/>
      <c r="C78" s="403"/>
      <c r="D78" s="403"/>
      <c r="E78" s="528"/>
      <c r="F78" s="403"/>
      <c r="G78" s="403"/>
      <c r="H78" s="403"/>
      <c r="I78" s="403"/>
      <c r="J78" s="403"/>
      <c r="K78" s="405"/>
      <c r="L78" s="419"/>
    </row>
    <row r="79" spans="1:24">
      <c r="A79" s="393"/>
      <c r="B79" s="420"/>
      <c r="C79" s="421" t="s">
        <v>145</v>
      </c>
      <c r="D79" s="421"/>
      <c r="E79" s="524"/>
      <c r="F79" s="421"/>
      <c r="G79" s="421"/>
      <c r="H79" s="421"/>
      <c r="I79" s="421"/>
      <c r="J79" s="421"/>
      <c r="K79" s="422"/>
      <c r="L79" s="419"/>
    </row>
    <row r="80" spans="1:24">
      <c r="A80" s="393"/>
      <c r="B80" s="411" t="s">
        <v>146</v>
      </c>
      <c r="C80" s="727">
        <v>100000</v>
      </c>
      <c r="D80" s="727"/>
      <c r="E80" s="528" t="s">
        <v>396</v>
      </c>
      <c r="F80" s="528">
        <v>0.115</v>
      </c>
      <c r="G80" s="528" t="s">
        <v>117</v>
      </c>
      <c r="H80" s="525">
        <f>C80*F80</f>
        <v>11500</v>
      </c>
      <c r="I80" s="403" t="s">
        <v>147</v>
      </c>
      <c r="J80" s="403"/>
      <c r="K80" s="405"/>
      <c r="L80" s="419"/>
    </row>
    <row r="81" spans="1:12">
      <c r="A81" s="393"/>
      <c r="B81" s="411"/>
      <c r="C81" s="403"/>
      <c r="D81" s="403"/>
      <c r="E81" s="528"/>
      <c r="F81" s="403"/>
      <c r="G81" s="403"/>
      <c r="H81" s="403"/>
      <c r="I81" s="403"/>
      <c r="J81" s="403"/>
      <c r="K81" s="405"/>
      <c r="L81" s="419"/>
    </row>
    <row r="82" spans="1:12">
      <c r="A82" s="393"/>
      <c r="B82" s="420"/>
      <c r="C82" s="421" t="s">
        <v>148</v>
      </c>
      <c r="D82" s="421"/>
      <c r="E82" s="524"/>
      <c r="F82" s="421" t="s">
        <v>144</v>
      </c>
      <c r="G82" s="421"/>
      <c r="H82" s="421"/>
      <c r="I82" s="421"/>
      <c r="J82" s="421" t="s">
        <v>149</v>
      </c>
      <c r="K82" s="422"/>
      <c r="L82" s="419"/>
    </row>
    <row r="83" spans="1:12">
      <c r="A83" s="393"/>
      <c r="B83" s="411" t="s">
        <v>150</v>
      </c>
      <c r="C83" s="742">
        <f>H80</f>
        <v>11500</v>
      </c>
      <c r="D83" s="742"/>
      <c r="E83" s="528" t="s">
        <v>396</v>
      </c>
      <c r="F83" s="413">
        <f>H77</f>
        <v>0.16025641025641027</v>
      </c>
      <c r="G83" s="528" t="s">
        <v>118</v>
      </c>
      <c r="H83" s="528">
        <v>1000</v>
      </c>
      <c r="I83" s="528" t="s">
        <v>117</v>
      </c>
      <c r="J83" s="526">
        <f>C83*F83/H83</f>
        <v>1.8429487179487181</v>
      </c>
      <c r="K83" s="405"/>
      <c r="L83" s="419"/>
    </row>
    <row r="84" spans="1:12" ht="15" thickBot="1">
      <c r="A84" s="393"/>
      <c r="B84" s="406"/>
      <c r="C84" s="423"/>
      <c r="D84" s="423"/>
      <c r="E84" s="424"/>
      <c r="F84" s="425"/>
      <c r="G84" s="424"/>
      <c r="H84" s="424"/>
      <c r="I84" s="424"/>
      <c r="J84" s="426"/>
      <c r="K84" s="408"/>
      <c r="L84" s="419"/>
    </row>
    <row r="85" spans="1:12" ht="40.5" customHeight="1">
      <c r="A85" s="393"/>
      <c r="B85" s="735" t="s">
        <v>109</v>
      </c>
      <c r="C85" s="735"/>
      <c r="D85" s="735"/>
      <c r="E85" s="735"/>
      <c r="F85" s="735"/>
      <c r="G85" s="735"/>
      <c r="H85" s="735"/>
      <c r="I85" s="735"/>
      <c r="J85" s="735"/>
      <c r="K85" s="735"/>
      <c r="L85" s="393"/>
    </row>
    <row r="86" spans="1:12">
      <c r="A86" s="393"/>
      <c r="B86" s="736" t="s">
        <v>151</v>
      </c>
      <c r="C86" s="736"/>
      <c r="D86" s="736"/>
      <c r="E86" s="736"/>
      <c r="F86" s="736"/>
      <c r="G86" s="736"/>
      <c r="H86" s="736"/>
      <c r="I86" s="736"/>
      <c r="J86" s="736"/>
      <c r="K86" s="736"/>
      <c r="L86" s="393"/>
    </row>
    <row r="87" spans="1:12">
      <c r="A87" s="393"/>
      <c r="B87" s="427"/>
      <c r="C87" s="427"/>
      <c r="D87" s="427"/>
      <c r="E87" s="427"/>
      <c r="F87" s="427"/>
      <c r="G87" s="427"/>
      <c r="H87" s="427"/>
      <c r="I87" s="427"/>
      <c r="J87" s="427"/>
      <c r="K87" s="427"/>
      <c r="L87" s="393"/>
    </row>
    <row r="88" spans="1:12">
      <c r="A88" s="393"/>
      <c r="B88" s="736" t="s">
        <v>152</v>
      </c>
      <c r="C88" s="736"/>
      <c r="D88" s="736"/>
      <c r="E88" s="736"/>
      <c r="F88" s="736"/>
      <c r="G88" s="736"/>
      <c r="H88" s="736"/>
      <c r="I88" s="736"/>
      <c r="J88" s="736"/>
      <c r="K88" s="736"/>
      <c r="L88" s="393"/>
    </row>
    <row r="89" spans="1:12">
      <c r="A89" s="393"/>
      <c r="B89" s="527"/>
      <c r="C89" s="527"/>
      <c r="D89" s="527"/>
      <c r="E89" s="527"/>
      <c r="F89" s="527"/>
      <c r="G89" s="527"/>
      <c r="H89" s="527"/>
      <c r="I89" s="527"/>
      <c r="J89" s="527"/>
      <c r="K89" s="527"/>
      <c r="L89" s="393"/>
    </row>
    <row r="90" spans="1:12" ht="45" customHeight="1">
      <c r="A90" s="393"/>
      <c r="B90" s="731" t="s">
        <v>153</v>
      </c>
      <c r="C90" s="731"/>
      <c r="D90" s="731"/>
      <c r="E90" s="731"/>
      <c r="F90" s="731"/>
      <c r="G90" s="731"/>
      <c r="H90" s="731"/>
      <c r="I90" s="731"/>
      <c r="J90" s="731"/>
      <c r="K90" s="731"/>
      <c r="L90" s="393"/>
    </row>
    <row r="91" spans="1:12" ht="15" customHeight="1" thickBot="1">
      <c r="A91" s="393"/>
      <c r="L91" s="393"/>
    </row>
    <row r="92" spans="1:12" ht="15" customHeight="1">
      <c r="A92" s="393"/>
      <c r="B92" s="428" t="s">
        <v>113</v>
      </c>
      <c r="C92" s="429"/>
      <c r="D92" s="429"/>
      <c r="E92" s="429"/>
      <c r="F92" s="429"/>
      <c r="G92" s="429"/>
      <c r="H92" s="429"/>
      <c r="I92" s="429"/>
      <c r="J92" s="429"/>
      <c r="K92" s="430"/>
      <c r="L92" s="393"/>
    </row>
    <row r="93" spans="1:12" ht="15" customHeight="1">
      <c r="A93" s="393"/>
      <c r="B93" s="431"/>
      <c r="C93" s="530" t="s">
        <v>119</v>
      </c>
      <c r="D93" s="530"/>
      <c r="E93" s="530"/>
      <c r="F93" s="530"/>
      <c r="G93" s="530"/>
      <c r="H93" s="530"/>
      <c r="I93" s="530"/>
      <c r="J93" s="530"/>
      <c r="K93" s="432"/>
      <c r="L93" s="393"/>
    </row>
    <row r="94" spans="1:12" ht="15" customHeight="1">
      <c r="A94" s="393"/>
      <c r="B94" s="431" t="s">
        <v>140</v>
      </c>
      <c r="C94" s="727">
        <v>312000000</v>
      </c>
      <c r="D94" s="727"/>
      <c r="E94" s="528" t="s">
        <v>118</v>
      </c>
      <c r="F94" s="528">
        <v>1000</v>
      </c>
      <c r="G94" s="528" t="s">
        <v>117</v>
      </c>
      <c r="H94" s="525">
        <f>C94/F94</f>
        <v>312000</v>
      </c>
      <c r="I94" s="530" t="s">
        <v>141</v>
      </c>
      <c r="J94" s="530"/>
      <c r="K94" s="432"/>
      <c r="L94" s="393"/>
    </row>
    <row r="95" spans="1:12" ht="15" customHeight="1">
      <c r="A95" s="393"/>
      <c r="B95" s="431"/>
      <c r="C95" s="530"/>
      <c r="D95" s="530"/>
      <c r="E95" s="528"/>
      <c r="F95" s="530"/>
      <c r="G95" s="530"/>
      <c r="H95" s="530"/>
      <c r="I95" s="530"/>
      <c r="J95" s="530"/>
      <c r="K95" s="432"/>
      <c r="L95" s="393"/>
    </row>
    <row r="96" spans="1:12" ht="15" customHeight="1">
      <c r="A96" s="393"/>
      <c r="B96" s="431"/>
      <c r="C96" s="530" t="s">
        <v>142</v>
      </c>
      <c r="D96" s="530"/>
      <c r="E96" s="528"/>
      <c r="F96" s="530" t="s">
        <v>141</v>
      </c>
      <c r="G96" s="530"/>
      <c r="H96" s="530"/>
      <c r="I96" s="530"/>
      <c r="J96" s="530"/>
      <c r="K96" s="432"/>
      <c r="L96" s="393"/>
    </row>
    <row r="97" spans="1:12" ht="15" customHeight="1">
      <c r="A97" s="393"/>
      <c r="B97" s="431" t="s">
        <v>143</v>
      </c>
      <c r="C97" s="727">
        <v>50000</v>
      </c>
      <c r="D97" s="727"/>
      <c r="E97" s="528" t="s">
        <v>118</v>
      </c>
      <c r="F97" s="525">
        <f>H94</f>
        <v>312000</v>
      </c>
      <c r="G97" s="528" t="s">
        <v>117</v>
      </c>
      <c r="H97" s="413">
        <f>C97/F97</f>
        <v>0.16025641025641027</v>
      </c>
      <c r="I97" s="530" t="s">
        <v>144</v>
      </c>
      <c r="J97" s="530"/>
      <c r="K97" s="432"/>
      <c r="L97" s="393"/>
    </row>
    <row r="98" spans="1:12" ht="15" customHeight="1">
      <c r="A98" s="393"/>
      <c r="B98" s="431"/>
      <c r="C98" s="530"/>
      <c r="D98" s="530"/>
      <c r="E98" s="528"/>
      <c r="F98" s="530"/>
      <c r="G98" s="530"/>
      <c r="H98" s="530"/>
      <c r="I98" s="530"/>
      <c r="J98" s="530"/>
      <c r="K98" s="432"/>
      <c r="L98" s="393"/>
    </row>
    <row r="99" spans="1:12" ht="15" customHeight="1">
      <c r="A99" s="393"/>
      <c r="B99" s="433"/>
      <c r="C99" s="434" t="s">
        <v>154</v>
      </c>
      <c r="D99" s="434"/>
      <c r="E99" s="524"/>
      <c r="F99" s="434"/>
      <c r="G99" s="434"/>
      <c r="H99" s="434"/>
      <c r="I99" s="434"/>
      <c r="J99" s="434"/>
      <c r="K99" s="435"/>
      <c r="L99" s="393"/>
    </row>
    <row r="100" spans="1:12" ht="15" customHeight="1">
      <c r="A100" s="393"/>
      <c r="B100" s="431" t="s">
        <v>146</v>
      </c>
      <c r="C100" s="727">
        <v>2500000</v>
      </c>
      <c r="D100" s="727"/>
      <c r="E100" s="528" t="s">
        <v>396</v>
      </c>
      <c r="F100" s="436">
        <v>0.3</v>
      </c>
      <c r="G100" s="528" t="s">
        <v>117</v>
      </c>
      <c r="H100" s="525">
        <f>C100*F100</f>
        <v>750000</v>
      </c>
      <c r="I100" s="530" t="s">
        <v>147</v>
      </c>
      <c r="J100" s="530"/>
      <c r="K100" s="432"/>
      <c r="L100" s="393"/>
    </row>
    <row r="101" spans="1:12" ht="15" customHeight="1">
      <c r="A101" s="393"/>
      <c r="B101" s="431"/>
      <c r="C101" s="530"/>
      <c r="D101" s="530"/>
      <c r="E101" s="528"/>
      <c r="F101" s="530"/>
      <c r="G101" s="530"/>
      <c r="H101" s="530"/>
      <c r="I101" s="530"/>
      <c r="J101" s="530"/>
      <c r="K101" s="432"/>
      <c r="L101" s="393"/>
    </row>
    <row r="102" spans="1:12" ht="15" customHeight="1">
      <c r="A102" s="393"/>
      <c r="B102" s="433"/>
      <c r="C102" s="434" t="s">
        <v>148</v>
      </c>
      <c r="D102" s="434"/>
      <c r="E102" s="524"/>
      <c r="F102" s="434" t="s">
        <v>144</v>
      </c>
      <c r="G102" s="434"/>
      <c r="H102" s="434"/>
      <c r="I102" s="434"/>
      <c r="J102" s="434" t="s">
        <v>149</v>
      </c>
      <c r="K102" s="435"/>
      <c r="L102" s="393"/>
    </row>
    <row r="103" spans="1:12" ht="15" customHeight="1">
      <c r="A103" s="393"/>
      <c r="B103" s="431" t="s">
        <v>150</v>
      </c>
      <c r="C103" s="742">
        <f>H100</f>
        <v>750000</v>
      </c>
      <c r="D103" s="742"/>
      <c r="E103" s="528" t="s">
        <v>396</v>
      </c>
      <c r="F103" s="413">
        <f>H97</f>
        <v>0.16025641025641027</v>
      </c>
      <c r="G103" s="528" t="s">
        <v>118</v>
      </c>
      <c r="H103" s="528">
        <v>1000</v>
      </c>
      <c r="I103" s="528" t="s">
        <v>117</v>
      </c>
      <c r="J103" s="526">
        <f>C103*F103/H103</f>
        <v>120.19230769230771</v>
      </c>
      <c r="K103" s="432"/>
      <c r="L103" s="393"/>
    </row>
    <row r="104" spans="1:12" ht="15" customHeight="1" thickBot="1">
      <c r="A104" s="393"/>
      <c r="B104" s="437"/>
      <c r="C104" s="423"/>
      <c r="D104" s="423"/>
      <c r="E104" s="424"/>
      <c r="F104" s="425"/>
      <c r="G104" s="424"/>
      <c r="H104" s="424"/>
      <c r="I104" s="424"/>
      <c r="J104" s="426"/>
      <c r="K104" s="531"/>
      <c r="L104" s="393"/>
    </row>
    <row r="105" spans="1:12" ht="40.5" customHeight="1">
      <c r="A105" s="393"/>
      <c r="B105" s="735" t="s">
        <v>109</v>
      </c>
      <c r="C105" s="745"/>
      <c r="D105" s="745"/>
      <c r="E105" s="745"/>
      <c r="F105" s="745"/>
      <c r="G105" s="745"/>
      <c r="H105" s="745"/>
      <c r="I105" s="745"/>
      <c r="J105" s="745"/>
      <c r="K105" s="745"/>
      <c r="L105" s="393"/>
    </row>
    <row r="106" spans="1:12" ht="15" customHeight="1">
      <c r="A106" s="393"/>
      <c r="B106" s="746" t="s">
        <v>155</v>
      </c>
      <c r="C106" s="737"/>
      <c r="D106" s="737"/>
      <c r="E106" s="737"/>
      <c r="F106" s="737"/>
      <c r="G106" s="737"/>
      <c r="H106" s="737"/>
      <c r="I106" s="737"/>
      <c r="J106" s="737"/>
      <c r="K106" s="737"/>
      <c r="L106" s="393"/>
    </row>
    <row r="107" spans="1:12" ht="15" customHeight="1">
      <c r="A107" s="393"/>
      <c r="B107" s="530"/>
      <c r="C107" s="438"/>
      <c r="D107" s="438"/>
      <c r="E107" s="528"/>
      <c r="F107" s="413"/>
      <c r="G107" s="528"/>
      <c r="H107" s="528"/>
      <c r="I107" s="528"/>
      <c r="J107" s="526"/>
      <c r="K107" s="530"/>
      <c r="L107" s="393"/>
    </row>
    <row r="108" spans="1:12" ht="15" customHeight="1">
      <c r="A108" s="393"/>
      <c r="B108" s="746" t="s">
        <v>156</v>
      </c>
      <c r="C108" s="747"/>
      <c r="D108" s="747"/>
      <c r="E108" s="747"/>
      <c r="F108" s="747"/>
      <c r="G108" s="747"/>
      <c r="H108" s="747"/>
      <c r="I108" s="747"/>
      <c r="J108" s="747"/>
      <c r="K108" s="747"/>
      <c r="L108" s="393"/>
    </row>
    <row r="109" spans="1:12" ht="15" customHeight="1">
      <c r="A109" s="393"/>
      <c r="B109" s="530"/>
      <c r="C109" s="438"/>
      <c r="D109" s="438"/>
      <c r="E109" s="528"/>
      <c r="F109" s="413"/>
      <c r="G109" s="528"/>
      <c r="H109" s="528"/>
      <c r="I109" s="528"/>
      <c r="J109" s="526"/>
      <c r="K109" s="530"/>
      <c r="L109" s="393"/>
    </row>
    <row r="110" spans="1:12" ht="59.25" customHeight="1">
      <c r="A110" s="393"/>
      <c r="B110" s="748" t="s">
        <v>157</v>
      </c>
      <c r="C110" s="732"/>
      <c r="D110" s="732"/>
      <c r="E110" s="732"/>
      <c r="F110" s="732"/>
      <c r="G110" s="732"/>
      <c r="H110" s="732"/>
      <c r="I110" s="732"/>
      <c r="J110" s="732"/>
      <c r="K110" s="732"/>
      <c r="L110" s="393"/>
    </row>
    <row r="111" spans="1:12" ht="15" thickBot="1">
      <c r="A111" s="393"/>
      <c r="B111" s="532"/>
      <c r="C111" s="532"/>
      <c r="D111" s="532"/>
      <c r="E111" s="532"/>
      <c r="F111" s="532"/>
      <c r="G111" s="532"/>
      <c r="H111" s="532"/>
      <c r="I111" s="532"/>
      <c r="J111" s="532"/>
      <c r="K111" s="532"/>
      <c r="L111" s="439"/>
    </row>
    <row r="112" spans="1:12">
      <c r="A112" s="393"/>
      <c r="B112" s="399" t="s">
        <v>113</v>
      </c>
      <c r="C112" s="400"/>
      <c r="D112" s="400"/>
      <c r="E112" s="400"/>
      <c r="F112" s="400"/>
      <c r="G112" s="400"/>
      <c r="H112" s="400"/>
      <c r="I112" s="400"/>
      <c r="J112" s="400"/>
      <c r="K112" s="401"/>
      <c r="L112" s="393"/>
    </row>
    <row r="113" spans="1:12">
      <c r="A113" s="393"/>
      <c r="B113" s="411"/>
      <c r="C113" s="403" t="s">
        <v>119</v>
      </c>
      <c r="D113" s="403"/>
      <c r="E113" s="403"/>
      <c r="F113" s="403"/>
      <c r="G113" s="403"/>
      <c r="H113" s="403"/>
      <c r="I113" s="403"/>
      <c r="J113" s="403"/>
      <c r="K113" s="405"/>
      <c r="L113" s="393"/>
    </row>
    <row r="114" spans="1:12">
      <c r="A114" s="393"/>
      <c r="B114" s="411" t="s">
        <v>140</v>
      </c>
      <c r="C114" s="727">
        <v>312000000</v>
      </c>
      <c r="D114" s="727"/>
      <c r="E114" s="528" t="s">
        <v>118</v>
      </c>
      <c r="F114" s="528">
        <v>1000</v>
      </c>
      <c r="G114" s="528" t="s">
        <v>117</v>
      </c>
      <c r="H114" s="525">
        <f>C114/F114</f>
        <v>312000</v>
      </c>
      <c r="I114" s="403" t="s">
        <v>141</v>
      </c>
      <c r="J114" s="403"/>
      <c r="K114" s="405"/>
      <c r="L114" s="393"/>
    </row>
    <row r="115" spans="1:12">
      <c r="A115" s="393"/>
      <c r="B115" s="411"/>
      <c r="C115" s="403"/>
      <c r="D115" s="403"/>
      <c r="E115" s="528"/>
      <c r="F115" s="403"/>
      <c r="G115" s="403"/>
      <c r="H115" s="403"/>
      <c r="I115" s="403"/>
      <c r="J115" s="403"/>
      <c r="K115" s="405"/>
      <c r="L115" s="393"/>
    </row>
    <row r="116" spans="1:12">
      <c r="A116" s="393"/>
      <c r="B116" s="411"/>
      <c r="C116" s="403" t="s">
        <v>142</v>
      </c>
      <c r="D116" s="403"/>
      <c r="E116" s="528"/>
      <c r="F116" s="403" t="s">
        <v>141</v>
      </c>
      <c r="G116" s="403"/>
      <c r="H116" s="403"/>
      <c r="I116" s="403"/>
      <c r="J116" s="403"/>
      <c r="K116" s="405"/>
      <c r="L116" s="393"/>
    </row>
    <row r="117" spans="1:12">
      <c r="A117" s="393"/>
      <c r="B117" s="411" t="s">
        <v>143</v>
      </c>
      <c r="C117" s="727">
        <v>50000</v>
      </c>
      <c r="D117" s="727"/>
      <c r="E117" s="528" t="s">
        <v>118</v>
      </c>
      <c r="F117" s="525">
        <f>H114</f>
        <v>312000</v>
      </c>
      <c r="G117" s="528" t="s">
        <v>117</v>
      </c>
      <c r="H117" s="413">
        <f>C117/F117</f>
        <v>0.16025641025641027</v>
      </c>
      <c r="I117" s="403" t="s">
        <v>144</v>
      </c>
      <c r="J117" s="403"/>
      <c r="K117" s="405"/>
      <c r="L117" s="393"/>
    </row>
    <row r="118" spans="1:12">
      <c r="A118" s="393"/>
      <c r="B118" s="411"/>
      <c r="C118" s="403"/>
      <c r="D118" s="403"/>
      <c r="E118" s="528"/>
      <c r="F118" s="403"/>
      <c r="G118" s="403"/>
      <c r="H118" s="403"/>
      <c r="I118" s="403"/>
      <c r="J118" s="403"/>
      <c r="K118" s="405"/>
      <c r="L118" s="393"/>
    </row>
    <row r="119" spans="1:12">
      <c r="A119" s="393"/>
      <c r="B119" s="420"/>
      <c r="C119" s="421" t="s">
        <v>154</v>
      </c>
      <c r="D119" s="421"/>
      <c r="E119" s="524"/>
      <c r="F119" s="421"/>
      <c r="G119" s="421"/>
      <c r="H119" s="421"/>
      <c r="I119" s="421"/>
      <c r="J119" s="421"/>
      <c r="K119" s="422"/>
      <c r="L119" s="393"/>
    </row>
    <row r="120" spans="1:12">
      <c r="A120" s="393"/>
      <c r="B120" s="411" t="s">
        <v>146</v>
      </c>
      <c r="C120" s="727">
        <v>2500000</v>
      </c>
      <c r="D120" s="727"/>
      <c r="E120" s="528" t="s">
        <v>396</v>
      </c>
      <c r="F120" s="436">
        <v>0.25</v>
      </c>
      <c r="G120" s="528" t="s">
        <v>117</v>
      </c>
      <c r="H120" s="525">
        <f>C120*F120</f>
        <v>625000</v>
      </c>
      <c r="I120" s="403" t="s">
        <v>147</v>
      </c>
      <c r="J120" s="403"/>
      <c r="K120" s="405"/>
      <c r="L120" s="393"/>
    </row>
    <row r="121" spans="1:12">
      <c r="A121" s="393"/>
      <c r="B121" s="411"/>
      <c r="C121" s="403"/>
      <c r="D121" s="403"/>
      <c r="E121" s="528"/>
      <c r="F121" s="403"/>
      <c r="G121" s="403"/>
      <c r="H121" s="403"/>
      <c r="I121" s="403"/>
      <c r="J121" s="403"/>
      <c r="K121" s="405"/>
      <c r="L121" s="393"/>
    </row>
    <row r="122" spans="1:12">
      <c r="A122" s="393"/>
      <c r="B122" s="420"/>
      <c r="C122" s="421" t="s">
        <v>148</v>
      </c>
      <c r="D122" s="421"/>
      <c r="E122" s="524"/>
      <c r="F122" s="421" t="s">
        <v>144</v>
      </c>
      <c r="G122" s="421"/>
      <c r="H122" s="421"/>
      <c r="I122" s="421"/>
      <c r="J122" s="421" t="s">
        <v>149</v>
      </c>
      <c r="K122" s="422"/>
      <c r="L122" s="393"/>
    </row>
    <row r="123" spans="1:12">
      <c r="A123" s="393"/>
      <c r="B123" s="411" t="s">
        <v>150</v>
      </c>
      <c r="C123" s="742">
        <f>H120</f>
        <v>625000</v>
      </c>
      <c r="D123" s="742"/>
      <c r="E123" s="528" t="s">
        <v>396</v>
      </c>
      <c r="F123" s="413">
        <f>H117</f>
        <v>0.16025641025641027</v>
      </c>
      <c r="G123" s="528" t="s">
        <v>118</v>
      </c>
      <c r="H123" s="528">
        <v>1000</v>
      </c>
      <c r="I123" s="528" t="s">
        <v>117</v>
      </c>
      <c r="J123" s="526">
        <f>C123*F123/H123</f>
        <v>100.16025641025642</v>
      </c>
      <c r="K123" s="405"/>
      <c r="L123" s="393"/>
    </row>
    <row r="124" spans="1:12" ht="15" thickBot="1">
      <c r="A124" s="393"/>
      <c r="B124" s="406"/>
      <c r="C124" s="423"/>
      <c r="D124" s="423"/>
      <c r="E124" s="424"/>
      <c r="F124" s="425"/>
      <c r="G124" s="424"/>
      <c r="H124" s="424"/>
      <c r="I124" s="424"/>
      <c r="J124" s="426"/>
      <c r="K124" s="408"/>
      <c r="L124" s="393"/>
    </row>
    <row r="125" spans="1:12" ht="40.5" customHeight="1">
      <c r="A125" s="393"/>
      <c r="B125" s="735" t="s">
        <v>109</v>
      </c>
      <c r="C125" s="735"/>
      <c r="D125" s="735"/>
      <c r="E125" s="735"/>
      <c r="F125" s="735"/>
      <c r="G125" s="735"/>
      <c r="H125" s="735"/>
      <c r="I125" s="735"/>
      <c r="J125" s="735"/>
      <c r="K125" s="735"/>
      <c r="L125" s="439"/>
    </row>
    <row r="126" spans="1:12">
      <c r="A126" s="393"/>
      <c r="B126" s="736" t="s">
        <v>158</v>
      </c>
      <c r="C126" s="736"/>
      <c r="D126" s="736"/>
      <c r="E126" s="736"/>
      <c r="F126" s="736"/>
      <c r="G126" s="736"/>
      <c r="H126" s="736"/>
      <c r="I126" s="736"/>
      <c r="J126" s="736"/>
      <c r="K126" s="736"/>
      <c r="L126" s="439"/>
    </row>
    <row r="127" spans="1:12">
      <c r="A127" s="393"/>
      <c r="B127" s="532"/>
      <c r="C127" s="532"/>
      <c r="D127" s="532"/>
      <c r="E127" s="532"/>
      <c r="F127" s="532"/>
      <c r="G127" s="532"/>
      <c r="H127" s="532"/>
      <c r="I127" s="532"/>
      <c r="J127" s="532"/>
      <c r="K127" s="532"/>
      <c r="L127" s="439"/>
    </row>
    <row r="128" spans="1:12">
      <c r="A128" s="393"/>
      <c r="B128" s="736" t="s">
        <v>159</v>
      </c>
      <c r="C128" s="736"/>
      <c r="D128" s="736"/>
      <c r="E128" s="736"/>
      <c r="F128" s="736"/>
      <c r="G128" s="736"/>
      <c r="H128" s="736"/>
      <c r="I128" s="736"/>
      <c r="J128" s="736"/>
      <c r="K128" s="736"/>
      <c r="L128" s="439"/>
    </row>
    <row r="129" spans="1:12">
      <c r="A129" s="393"/>
      <c r="B129" s="527"/>
      <c r="C129" s="527"/>
      <c r="D129" s="527"/>
      <c r="E129" s="527"/>
      <c r="F129" s="527"/>
      <c r="G129" s="527"/>
      <c r="H129" s="527"/>
      <c r="I129" s="527"/>
      <c r="J129" s="527"/>
      <c r="K129" s="527"/>
      <c r="L129" s="439"/>
    </row>
    <row r="130" spans="1:12" ht="74.25" customHeight="1">
      <c r="A130" s="393"/>
      <c r="B130" s="731" t="s">
        <v>160</v>
      </c>
      <c r="C130" s="731"/>
      <c r="D130" s="731"/>
      <c r="E130" s="731"/>
      <c r="F130" s="731"/>
      <c r="G130" s="731"/>
      <c r="H130" s="731"/>
      <c r="I130" s="731"/>
      <c r="J130" s="731"/>
      <c r="K130" s="731"/>
      <c r="L130" s="439"/>
    </row>
    <row r="131" spans="1:12" ht="15" thickBot="1">
      <c r="A131" s="393"/>
      <c r="L131" s="393"/>
    </row>
    <row r="132" spans="1:12">
      <c r="A132" s="393"/>
      <c r="B132" s="399" t="s">
        <v>113</v>
      </c>
      <c r="C132" s="400"/>
      <c r="D132" s="400"/>
      <c r="E132" s="400"/>
      <c r="F132" s="400"/>
      <c r="G132" s="400"/>
      <c r="H132" s="400"/>
      <c r="I132" s="400"/>
      <c r="J132" s="400"/>
      <c r="K132" s="401"/>
      <c r="L132" s="393"/>
    </row>
    <row r="133" spans="1:12">
      <c r="A133" s="393"/>
      <c r="B133" s="411"/>
      <c r="C133" s="743" t="s">
        <v>161</v>
      </c>
      <c r="D133" s="743"/>
      <c r="E133" s="403"/>
      <c r="F133" s="528" t="s">
        <v>162</v>
      </c>
      <c r="G133" s="403"/>
      <c r="H133" s="743" t="s">
        <v>147</v>
      </c>
      <c r="I133" s="743"/>
      <c r="J133" s="403"/>
      <c r="K133" s="405"/>
      <c r="L133" s="393"/>
    </row>
    <row r="134" spans="1:12">
      <c r="A134" s="393"/>
      <c r="B134" s="411" t="s">
        <v>140</v>
      </c>
      <c r="C134" s="727">
        <v>100000</v>
      </c>
      <c r="D134" s="727"/>
      <c r="E134" s="528" t="s">
        <v>396</v>
      </c>
      <c r="F134" s="528">
        <v>0.115</v>
      </c>
      <c r="G134" s="528" t="s">
        <v>117</v>
      </c>
      <c r="H134" s="744">
        <f>C134*F134</f>
        <v>11500</v>
      </c>
      <c r="I134" s="744"/>
      <c r="J134" s="403"/>
      <c r="K134" s="405"/>
      <c r="L134" s="393"/>
    </row>
    <row r="135" spans="1:12">
      <c r="A135" s="393"/>
      <c r="B135" s="411"/>
      <c r="C135" s="403"/>
      <c r="D135" s="403"/>
      <c r="E135" s="403"/>
      <c r="F135" s="403"/>
      <c r="G135" s="403"/>
      <c r="H135" s="403"/>
      <c r="I135" s="403"/>
      <c r="J135" s="403"/>
      <c r="K135" s="405"/>
      <c r="L135" s="393"/>
    </row>
    <row r="136" spans="1:12">
      <c r="A136" s="393"/>
      <c r="B136" s="420"/>
      <c r="C136" s="752" t="s">
        <v>147</v>
      </c>
      <c r="D136" s="752"/>
      <c r="E136" s="421"/>
      <c r="F136" s="524" t="s">
        <v>163</v>
      </c>
      <c r="G136" s="524"/>
      <c r="H136" s="421"/>
      <c r="I136" s="421"/>
      <c r="J136" s="421" t="s">
        <v>164</v>
      </c>
      <c r="K136" s="422"/>
      <c r="L136" s="393"/>
    </row>
    <row r="137" spans="1:12">
      <c r="A137" s="393"/>
      <c r="B137" s="411" t="s">
        <v>143</v>
      </c>
      <c r="C137" s="744">
        <f>H134</f>
        <v>11500</v>
      </c>
      <c r="D137" s="744"/>
      <c r="E137" s="528" t="s">
        <v>396</v>
      </c>
      <c r="F137" s="440">
        <v>52.869</v>
      </c>
      <c r="G137" s="528" t="s">
        <v>118</v>
      </c>
      <c r="H137" s="528">
        <v>1000</v>
      </c>
      <c r="I137" s="528" t="s">
        <v>117</v>
      </c>
      <c r="J137" s="441">
        <f>C137*F137/H137</f>
        <v>607.99350000000004</v>
      </c>
      <c r="K137" s="405"/>
      <c r="L137" s="393"/>
    </row>
    <row r="138" spans="1:12" ht="15" thickBot="1">
      <c r="A138" s="393"/>
      <c r="B138" s="406"/>
      <c r="C138" s="442"/>
      <c r="D138" s="442"/>
      <c r="E138" s="424"/>
      <c r="F138" s="443"/>
      <c r="G138" s="424"/>
      <c r="H138" s="424"/>
      <c r="I138" s="424"/>
      <c r="J138" s="444"/>
      <c r="K138" s="408"/>
      <c r="L138" s="393"/>
    </row>
    <row r="139" spans="1:12" ht="40.5" customHeight="1">
      <c r="A139" s="393"/>
      <c r="B139" s="445" t="s">
        <v>109</v>
      </c>
      <c r="C139" s="446"/>
      <c r="D139" s="446"/>
      <c r="E139" s="447"/>
      <c r="F139" s="448"/>
      <c r="G139" s="447"/>
      <c r="H139" s="447"/>
      <c r="I139" s="447"/>
      <c r="J139" s="449"/>
      <c r="K139" s="450"/>
      <c r="L139" s="393"/>
    </row>
    <row r="140" spans="1:12">
      <c r="A140" s="393"/>
      <c r="B140" s="451" t="s">
        <v>165</v>
      </c>
      <c r="C140" s="452"/>
      <c r="D140" s="452"/>
      <c r="E140" s="453"/>
      <c r="F140" s="454"/>
      <c r="G140" s="453"/>
      <c r="H140" s="453"/>
      <c r="I140" s="453"/>
      <c r="J140" s="455"/>
      <c r="K140" s="456"/>
      <c r="L140" s="393"/>
    </row>
    <row r="141" spans="1:12">
      <c r="A141" s="393"/>
      <c r="B141" s="411"/>
      <c r="C141" s="525"/>
      <c r="D141" s="525"/>
      <c r="E141" s="528"/>
      <c r="F141" s="457"/>
      <c r="G141" s="528"/>
      <c r="H141" s="528"/>
      <c r="I141" s="528"/>
      <c r="J141" s="441"/>
      <c r="K141" s="405"/>
      <c r="L141" s="393"/>
    </row>
    <row r="142" spans="1:12">
      <c r="A142" s="393"/>
      <c r="B142" s="451" t="s">
        <v>166</v>
      </c>
      <c r="C142" s="452"/>
      <c r="D142" s="452"/>
      <c r="E142" s="453"/>
      <c r="F142" s="454"/>
      <c r="G142" s="453"/>
      <c r="H142" s="453"/>
      <c r="I142" s="453"/>
      <c r="J142" s="455"/>
      <c r="K142" s="456"/>
      <c r="L142" s="393"/>
    </row>
    <row r="143" spans="1:12">
      <c r="A143" s="393"/>
      <c r="B143" s="411"/>
      <c r="C143" s="525"/>
      <c r="D143" s="525"/>
      <c r="E143" s="528"/>
      <c r="F143" s="457"/>
      <c r="G143" s="528"/>
      <c r="H143" s="528"/>
      <c r="I143" s="528"/>
      <c r="J143" s="441"/>
      <c r="K143" s="405"/>
      <c r="L143" s="393"/>
    </row>
    <row r="144" spans="1:12" ht="76.5" customHeight="1">
      <c r="A144" s="393"/>
      <c r="B144" s="753" t="s">
        <v>167</v>
      </c>
      <c r="C144" s="754"/>
      <c r="D144" s="754"/>
      <c r="E144" s="754"/>
      <c r="F144" s="754"/>
      <c r="G144" s="754"/>
      <c r="H144" s="754"/>
      <c r="I144" s="754"/>
      <c r="J144" s="754"/>
      <c r="K144" s="755"/>
      <c r="L144" s="393"/>
    </row>
    <row r="145" spans="1:12" ht="15" thickBot="1">
      <c r="A145" s="393"/>
      <c r="B145" s="411"/>
      <c r="C145" s="525"/>
      <c r="D145" s="525"/>
      <c r="E145" s="528"/>
      <c r="F145" s="457"/>
      <c r="G145" s="528"/>
      <c r="H145" s="528"/>
      <c r="I145" s="528"/>
      <c r="J145" s="441"/>
      <c r="K145" s="405"/>
      <c r="L145" s="393"/>
    </row>
    <row r="146" spans="1:12">
      <c r="A146" s="393"/>
      <c r="B146" s="399" t="s">
        <v>113</v>
      </c>
      <c r="C146" s="458"/>
      <c r="D146" s="458"/>
      <c r="E146" s="459"/>
      <c r="F146" s="460"/>
      <c r="G146" s="459"/>
      <c r="H146" s="459"/>
      <c r="I146" s="459"/>
      <c r="J146" s="461"/>
      <c r="K146" s="401"/>
      <c r="L146" s="393"/>
    </row>
    <row r="147" spans="1:12">
      <c r="A147" s="393"/>
      <c r="B147" s="411"/>
      <c r="C147" s="744" t="s">
        <v>168</v>
      </c>
      <c r="D147" s="744"/>
      <c r="E147" s="528"/>
      <c r="F147" s="457" t="s">
        <v>169</v>
      </c>
      <c r="G147" s="528"/>
      <c r="H147" s="528"/>
      <c r="I147" s="528"/>
      <c r="J147" s="750" t="s">
        <v>170</v>
      </c>
      <c r="K147" s="756"/>
      <c r="L147" s="393"/>
    </row>
    <row r="148" spans="1:12">
      <c r="A148" s="393"/>
      <c r="B148" s="411"/>
      <c r="C148" s="749">
        <v>52.869</v>
      </c>
      <c r="D148" s="749"/>
      <c r="E148" s="528" t="s">
        <v>396</v>
      </c>
      <c r="F148" s="529">
        <v>312000000</v>
      </c>
      <c r="G148" s="462" t="s">
        <v>118</v>
      </c>
      <c r="H148" s="528">
        <v>1000</v>
      </c>
      <c r="I148" s="528" t="s">
        <v>117</v>
      </c>
      <c r="J148" s="750">
        <f>C148*(F148/1000)</f>
        <v>16495128</v>
      </c>
      <c r="K148" s="751"/>
      <c r="L148" s="393"/>
    </row>
    <row r="149" spans="1:12" ht="15" thickBot="1">
      <c r="A149" s="393"/>
      <c r="B149" s="406"/>
      <c r="C149" s="442"/>
      <c r="D149" s="442"/>
      <c r="E149" s="424"/>
      <c r="F149" s="443"/>
      <c r="G149" s="424"/>
      <c r="H149" s="424"/>
      <c r="I149" s="424"/>
      <c r="J149" s="444"/>
      <c r="K149" s="408"/>
      <c r="L149" s="393"/>
    </row>
    <row r="150" spans="1:12" ht="15" thickBot="1">
      <c r="A150" s="393"/>
      <c r="B150" s="406"/>
      <c r="C150" s="407"/>
      <c r="D150" s="407"/>
      <c r="E150" s="407"/>
      <c r="F150" s="407"/>
      <c r="G150" s="407"/>
      <c r="H150" s="407"/>
      <c r="I150" s="407"/>
      <c r="J150" s="407"/>
      <c r="K150" s="408"/>
      <c r="L150" s="393"/>
    </row>
    <row r="151" spans="1:12">
      <c r="A151" s="393"/>
      <c r="B151" s="393"/>
      <c r="C151" s="393"/>
      <c r="D151" s="393"/>
      <c r="E151" s="393"/>
      <c r="F151" s="393"/>
      <c r="G151" s="393"/>
      <c r="H151" s="393"/>
      <c r="I151" s="393"/>
      <c r="J151" s="393"/>
      <c r="K151" s="393"/>
      <c r="L151" s="393"/>
    </row>
    <row r="152" spans="1:12">
      <c r="A152" s="393"/>
      <c r="B152" s="393"/>
      <c r="C152" s="393"/>
      <c r="D152" s="393"/>
      <c r="E152" s="393"/>
      <c r="F152" s="393"/>
      <c r="G152" s="393"/>
      <c r="H152" s="393"/>
      <c r="I152" s="393"/>
      <c r="J152" s="393"/>
      <c r="K152" s="393"/>
      <c r="L152" s="393"/>
    </row>
    <row r="153" spans="1:12">
      <c r="A153" s="393"/>
      <c r="B153" s="393"/>
      <c r="C153" s="393"/>
      <c r="D153" s="393"/>
      <c r="E153" s="393"/>
      <c r="F153" s="393"/>
      <c r="G153" s="393"/>
      <c r="H153" s="393"/>
      <c r="I153" s="393"/>
      <c r="J153" s="393"/>
      <c r="K153" s="393"/>
      <c r="L153" s="393"/>
    </row>
    <row r="154" spans="1:12">
      <c r="A154" s="463"/>
      <c r="B154" s="463"/>
      <c r="C154" s="463"/>
      <c r="D154" s="463"/>
      <c r="E154" s="463"/>
      <c r="F154" s="463"/>
      <c r="G154" s="463"/>
      <c r="H154" s="463"/>
      <c r="I154" s="463"/>
      <c r="J154" s="463"/>
      <c r="K154" s="463"/>
      <c r="L154" s="463"/>
    </row>
    <row r="155" spans="1:12">
      <c r="A155" s="463"/>
      <c r="B155" s="463"/>
      <c r="C155" s="463"/>
      <c r="D155" s="463"/>
      <c r="E155" s="463"/>
      <c r="F155" s="463"/>
      <c r="G155" s="463"/>
      <c r="H155" s="463"/>
      <c r="I155" s="463"/>
      <c r="J155" s="463"/>
      <c r="K155" s="463"/>
      <c r="L155" s="463"/>
    </row>
    <row r="156" spans="1:12">
      <c r="A156" s="463"/>
      <c r="B156" s="463"/>
      <c r="C156" s="463"/>
      <c r="D156" s="463"/>
      <c r="E156" s="463"/>
      <c r="F156" s="463"/>
      <c r="G156" s="463"/>
      <c r="H156" s="463"/>
      <c r="I156" s="463"/>
      <c r="J156" s="463"/>
      <c r="K156" s="463"/>
      <c r="L156" s="463"/>
    </row>
    <row r="157" spans="1:12">
      <c r="A157" s="463"/>
      <c r="B157" s="463"/>
      <c r="C157" s="463"/>
      <c r="D157" s="463"/>
      <c r="E157" s="463"/>
      <c r="F157" s="463"/>
      <c r="G157" s="463"/>
      <c r="H157" s="463"/>
      <c r="I157" s="463"/>
      <c r="J157" s="463"/>
      <c r="K157" s="463"/>
      <c r="L157" s="463"/>
    </row>
    <row r="158" spans="1:12">
      <c r="A158" s="463"/>
      <c r="B158" s="463"/>
      <c r="C158" s="463"/>
      <c r="D158" s="463"/>
      <c r="E158" s="463"/>
      <c r="F158" s="463"/>
      <c r="G158" s="463"/>
      <c r="H158" s="463"/>
      <c r="I158" s="463"/>
      <c r="J158" s="463"/>
      <c r="K158" s="463"/>
      <c r="L158" s="463"/>
    </row>
    <row r="159" spans="1:12">
      <c r="A159" s="463"/>
      <c r="B159" s="463"/>
      <c r="C159" s="463"/>
      <c r="D159" s="463"/>
      <c r="E159" s="463"/>
      <c r="F159" s="463"/>
      <c r="G159" s="463"/>
      <c r="H159" s="463"/>
      <c r="I159" s="463"/>
      <c r="J159" s="463"/>
      <c r="K159" s="463"/>
      <c r="L159" s="463"/>
    </row>
    <row r="160" spans="1:12">
      <c r="A160" s="463"/>
      <c r="B160" s="463"/>
      <c r="C160" s="463"/>
      <c r="D160" s="463"/>
      <c r="E160" s="463"/>
      <c r="F160" s="463"/>
      <c r="G160" s="463"/>
      <c r="H160" s="463"/>
      <c r="I160" s="463"/>
      <c r="J160" s="463"/>
      <c r="K160" s="463"/>
      <c r="L160" s="463"/>
    </row>
    <row r="161" spans="1:12">
      <c r="A161" s="463"/>
      <c r="B161" s="463"/>
      <c r="C161" s="463"/>
      <c r="D161" s="463"/>
      <c r="E161" s="463"/>
      <c r="F161" s="463"/>
      <c r="G161" s="463"/>
      <c r="H161" s="463"/>
      <c r="I161" s="463"/>
      <c r="J161" s="463"/>
      <c r="K161" s="463"/>
      <c r="L161" s="463"/>
    </row>
    <row r="162" spans="1:12">
      <c r="A162" s="463"/>
      <c r="B162" s="463"/>
      <c r="C162" s="463"/>
      <c r="D162" s="463"/>
      <c r="E162" s="463"/>
      <c r="F162" s="463"/>
      <c r="G162" s="463"/>
      <c r="H162" s="463"/>
      <c r="I162" s="463"/>
      <c r="J162" s="463"/>
      <c r="K162" s="463"/>
      <c r="L162" s="463"/>
    </row>
    <row r="163" spans="1:12">
      <c r="A163" s="463"/>
      <c r="B163" s="463"/>
      <c r="C163" s="463"/>
      <c r="D163" s="463"/>
      <c r="E163" s="463"/>
      <c r="F163" s="463"/>
      <c r="G163" s="463"/>
      <c r="H163" s="463"/>
      <c r="I163" s="463"/>
      <c r="J163" s="463"/>
      <c r="K163" s="463"/>
      <c r="L163" s="463"/>
    </row>
    <row r="164" spans="1:12">
      <c r="A164" s="463"/>
      <c r="B164" s="463"/>
      <c r="C164" s="463"/>
      <c r="D164" s="463"/>
      <c r="E164" s="463"/>
      <c r="F164" s="463"/>
      <c r="G164" s="463"/>
      <c r="H164" s="463"/>
      <c r="I164" s="463"/>
      <c r="J164" s="463"/>
      <c r="K164" s="463"/>
      <c r="L164" s="463"/>
    </row>
    <row r="165" spans="1:12">
      <c r="A165" s="463"/>
      <c r="B165" s="463"/>
      <c r="C165" s="463"/>
      <c r="D165" s="463"/>
      <c r="E165" s="463"/>
      <c r="F165" s="463"/>
      <c r="G165" s="463"/>
      <c r="H165" s="463"/>
      <c r="I165" s="463"/>
      <c r="J165" s="463"/>
      <c r="K165" s="463"/>
      <c r="L165" s="463"/>
    </row>
    <row r="166" spans="1:12">
      <c r="A166" s="463"/>
      <c r="B166" s="463"/>
      <c r="C166" s="463"/>
      <c r="D166" s="463"/>
      <c r="E166" s="463"/>
      <c r="F166" s="463"/>
      <c r="G166" s="463"/>
      <c r="H166" s="463"/>
      <c r="I166" s="463"/>
      <c r="J166" s="463"/>
      <c r="K166" s="463"/>
      <c r="L166" s="463"/>
    </row>
    <row r="167" spans="1:12">
      <c r="A167" s="463"/>
      <c r="B167" s="463"/>
      <c r="C167" s="463"/>
      <c r="D167" s="463"/>
      <c r="E167" s="463"/>
      <c r="F167" s="463"/>
      <c r="G167" s="463"/>
      <c r="H167" s="463"/>
      <c r="I167" s="463"/>
      <c r="J167" s="463"/>
      <c r="K167" s="463"/>
      <c r="L167" s="463"/>
    </row>
    <row r="168" spans="1:12">
      <c r="A168" s="463"/>
      <c r="B168" s="463"/>
      <c r="C168" s="463"/>
      <c r="D168" s="463"/>
      <c r="E168" s="463"/>
      <c r="F168" s="463"/>
      <c r="G168" s="463"/>
      <c r="H168" s="463"/>
      <c r="I168" s="463"/>
      <c r="J168" s="463"/>
      <c r="K168" s="463"/>
      <c r="L168" s="463"/>
    </row>
    <row r="169" spans="1:12">
      <c r="A169" s="463"/>
      <c r="B169" s="463"/>
      <c r="C169" s="463"/>
      <c r="D169" s="463"/>
      <c r="E169" s="463"/>
      <c r="F169" s="463"/>
      <c r="G169" s="463"/>
      <c r="H169" s="463"/>
      <c r="I169" s="463"/>
      <c r="J169" s="463"/>
      <c r="K169" s="463"/>
      <c r="L169" s="463"/>
    </row>
    <row r="170" spans="1:12">
      <c r="A170" s="463"/>
      <c r="B170" s="463"/>
      <c r="C170" s="463"/>
      <c r="D170" s="463"/>
      <c r="E170" s="463"/>
      <c r="F170" s="463"/>
      <c r="G170" s="463"/>
      <c r="H170" s="463"/>
      <c r="I170" s="463"/>
      <c r="J170" s="463"/>
      <c r="K170" s="463"/>
      <c r="L170" s="463"/>
    </row>
    <row r="171" spans="1:12">
      <c r="A171" s="463"/>
      <c r="B171" s="463"/>
      <c r="C171" s="463"/>
      <c r="D171" s="463"/>
      <c r="E171" s="463"/>
      <c r="F171" s="463"/>
      <c r="G171" s="463"/>
      <c r="H171" s="463"/>
      <c r="I171" s="463"/>
      <c r="J171" s="463"/>
      <c r="K171" s="463"/>
      <c r="L171" s="463"/>
    </row>
    <row r="172" spans="1:12">
      <c r="A172" s="463"/>
      <c r="B172" s="463"/>
      <c r="C172" s="463"/>
      <c r="D172" s="463"/>
      <c r="E172" s="463"/>
      <c r="F172" s="463"/>
      <c r="G172" s="463"/>
      <c r="H172" s="463"/>
      <c r="I172" s="463"/>
      <c r="J172" s="463"/>
      <c r="K172" s="463"/>
      <c r="L172" s="463"/>
    </row>
    <row r="173" spans="1:12">
      <c r="A173" s="463"/>
      <c r="B173" s="463"/>
      <c r="C173" s="463"/>
      <c r="D173" s="463"/>
      <c r="E173" s="463"/>
      <c r="F173" s="463"/>
      <c r="G173" s="463"/>
      <c r="H173" s="463"/>
      <c r="I173" s="463"/>
      <c r="J173" s="463"/>
      <c r="K173" s="463"/>
      <c r="L173" s="463"/>
    </row>
    <row r="174" spans="1:12">
      <c r="A174" s="463"/>
      <c r="B174" s="463"/>
      <c r="C174" s="463"/>
      <c r="D174" s="463"/>
      <c r="E174" s="463"/>
      <c r="F174" s="463"/>
      <c r="G174" s="463"/>
      <c r="H174" s="463"/>
      <c r="I174" s="463"/>
      <c r="J174" s="463"/>
      <c r="K174" s="463"/>
      <c r="L174" s="463"/>
    </row>
    <row r="175" spans="1:12">
      <c r="A175" s="463"/>
      <c r="B175" s="463"/>
      <c r="C175" s="463"/>
      <c r="D175" s="463"/>
      <c r="E175" s="463"/>
      <c r="F175" s="463"/>
      <c r="G175" s="463"/>
      <c r="H175" s="463"/>
      <c r="I175" s="463"/>
      <c r="J175" s="463"/>
      <c r="K175" s="463"/>
      <c r="L175" s="463"/>
    </row>
    <row r="176" spans="1:12">
      <c r="A176" s="463"/>
      <c r="B176" s="463"/>
      <c r="C176" s="463"/>
      <c r="D176" s="463"/>
      <c r="E176" s="463"/>
      <c r="F176" s="463"/>
      <c r="G176" s="463"/>
      <c r="H176" s="463"/>
      <c r="I176" s="463"/>
      <c r="J176" s="463"/>
      <c r="K176" s="463"/>
      <c r="L176" s="463"/>
    </row>
    <row r="177" spans="1:12">
      <c r="A177" s="463"/>
      <c r="B177" s="463"/>
      <c r="C177" s="463"/>
      <c r="D177" s="463"/>
      <c r="E177" s="463"/>
      <c r="F177" s="463"/>
      <c r="G177" s="463"/>
      <c r="H177" s="463"/>
      <c r="I177" s="463"/>
      <c r="J177" s="463"/>
      <c r="K177" s="463"/>
      <c r="L177" s="463"/>
    </row>
    <row r="178" spans="1:12">
      <c r="A178" s="463"/>
      <c r="B178" s="463"/>
      <c r="C178" s="463"/>
      <c r="D178" s="463"/>
      <c r="E178" s="463"/>
      <c r="F178" s="463"/>
      <c r="G178" s="463"/>
      <c r="H178" s="463"/>
      <c r="I178" s="463"/>
      <c r="J178" s="463"/>
      <c r="K178" s="463"/>
      <c r="L178" s="463"/>
    </row>
    <row r="179" spans="1:12">
      <c r="A179" s="463"/>
      <c r="B179" s="463"/>
      <c r="C179" s="463"/>
      <c r="D179" s="463"/>
      <c r="E179" s="463"/>
      <c r="F179" s="463"/>
      <c r="G179" s="463"/>
      <c r="H179" s="463"/>
      <c r="I179" s="463"/>
      <c r="J179" s="463"/>
      <c r="K179" s="463"/>
      <c r="L179" s="463"/>
    </row>
    <row r="180" spans="1:12">
      <c r="A180" s="463"/>
      <c r="B180" s="463"/>
      <c r="C180" s="463"/>
      <c r="D180" s="463"/>
      <c r="E180" s="463"/>
      <c r="F180" s="463"/>
      <c r="G180" s="463"/>
      <c r="H180" s="463"/>
      <c r="I180" s="463"/>
      <c r="J180" s="463"/>
      <c r="K180" s="463"/>
      <c r="L180" s="463"/>
    </row>
    <row r="181" spans="1:12">
      <c r="A181" s="463"/>
      <c r="B181" s="463"/>
      <c r="C181" s="463"/>
      <c r="D181" s="463"/>
      <c r="E181" s="463"/>
      <c r="F181" s="463"/>
      <c r="G181" s="463"/>
      <c r="H181" s="463"/>
      <c r="I181" s="463"/>
      <c r="J181" s="463"/>
      <c r="K181" s="463"/>
      <c r="L181" s="463"/>
    </row>
    <row r="182" spans="1:12">
      <c r="A182" s="463"/>
      <c r="B182" s="463"/>
      <c r="C182" s="463"/>
      <c r="D182" s="463"/>
      <c r="E182" s="463"/>
      <c r="F182" s="463"/>
      <c r="G182" s="463"/>
      <c r="H182" s="463"/>
      <c r="I182" s="463"/>
      <c r="J182" s="463"/>
      <c r="K182" s="463"/>
      <c r="L182" s="463"/>
    </row>
    <row r="183" spans="1:12">
      <c r="A183" s="463"/>
      <c r="B183" s="463"/>
      <c r="C183" s="463"/>
      <c r="D183" s="463"/>
      <c r="E183" s="463"/>
      <c r="F183" s="463"/>
      <c r="G183" s="463"/>
      <c r="H183" s="463"/>
      <c r="I183" s="463"/>
      <c r="J183" s="463"/>
      <c r="K183" s="463"/>
      <c r="L183" s="463"/>
    </row>
    <row r="184" spans="1:12">
      <c r="A184" s="463"/>
      <c r="B184" s="463"/>
      <c r="C184" s="463"/>
      <c r="D184" s="463"/>
      <c r="E184" s="463"/>
      <c r="F184" s="463"/>
      <c r="G184" s="463"/>
      <c r="H184" s="463"/>
      <c r="I184" s="463"/>
      <c r="J184" s="463"/>
      <c r="K184" s="463"/>
      <c r="L184" s="463"/>
    </row>
    <row r="185" spans="1:12">
      <c r="A185" s="463"/>
      <c r="B185" s="463"/>
      <c r="C185" s="463"/>
      <c r="D185" s="463"/>
      <c r="E185" s="463"/>
      <c r="F185" s="463"/>
      <c r="G185" s="463"/>
      <c r="H185" s="463"/>
      <c r="I185" s="463"/>
      <c r="J185" s="463"/>
      <c r="K185" s="463"/>
      <c r="L185" s="463"/>
    </row>
    <row r="186" spans="1:12">
      <c r="A186" s="463"/>
      <c r="B186" s="463"/>
      <c r="C186" s="463"/>
      <c r="D186" s="463"/>
      <c r="E186" s="463"/>
      <c r="F186" s="463"/>
      <c r="G186" s="463"/>
      <c r="H186" s="463"/>
      <c r="I186" s="463"/>
      <c r="J186" s="463"/>
      <c r="K186" s="463"/>
      <c r="L186" s="463"/>
    </row>
    <row r="187" spans="1:12">
      <c r="A187" s="463"/>
      <c r="B187" s="463"/>
      <c r="C187" s="463"/>
      <c r="D187" s="463"/>
      <c r="E187" s="463"/>
      <c r="F187" s="463"/>
      <c r="G187" s="463"/>
      <c r="H187" s="463"/>
      <c r="I187" s="463"/>
      <c r="J187" s="463"/>
      <c r="K187" s="463"/>
      <c r="L187" s="463"/>
    </row>
    <row r="188" spans="1:12">
      <c r="A188" s="463"/>
      <c r="B188" s="463"/>
      <c r="C188" s="463"/>
      <c r="D188" s="463"/>
      <c r="E188" s="463"/>
      <c r="F188" s="463"/>
      <c r="G188" s="463"/>
      <c r="H188" s="463"/>
      <c r="I188" s="463"/>
      <c r="J188" s="463"/>
      <c r="K188" s="463"/>
      <c r="L188" s="463"/>
    </row>
    <row r="189" spans="1:12">
      <c r="A189" s="463"/>
      <c r="B189" s="463"/>
      <c r="C189" s="463"/>
      <c r="D189" s="463"/>
      <c r="E189" s="463"/>
      <c r="F189" s="463"/>
      <c r="G189" s="463"/>
      <c r="H189" s="463"/>
      <c r="I189" s="463"/>
      <c r="J189" s="463"/>
      <c r="K189" s="463"/>
      <c r="L189" s="463"/>
    </row>
    <row r="190" spans="1:12">
      <c r="A190" s="463"/>
      <c r="B190" s="463"/>
      <c r="C190" s="463"/>
      <c r="D190" s="463"/>
      <c r="E190" s="463"/>
      <c r="F190" s="463"/>
      <c r="G190" s="463"/>
      <c r="H190" s="463"/>
      <c r="I190" s="463"/>
      <c r="J190" s="463"/>
      <c r="K190" s="463"/>
      <c r="L190" s="463"/>
    </row>
    <row r="191" spans="1:12">
      <c r="A191" s="463"/>
      <c r="B191" s="463"/>
      <c r="C191" s="463"/>
      <c r="D191" s="463"/>
      <c r="E191" s="463"/>
      <c r="F191" s="463"/>
      <c r="G191" s="463"/>
      <c r="H191" s="463"/>
      <c r="I191" s="463"/>
      <c r="J191" s="463"/>
      <c r="K191" s="463"/>
      <c r="L191" s="463"/>
    </row>
    <row r="192" spans="1:12">
      <c r="A192" s="463"/>
      <c r="B192" s="463"/>
      <c r="C192" s="463"/>
      <c r="D192" s="463"/>
      <c r="E192" s="463"/>
      <c r="F192" s="463"/>
      <c r="G192" s="463"/>
      <c r="H192" s="463"/>
      <c r="I192" s="463"/>
      <c r="J192" s="463"/>
      <c r="K192" s="463"/>
      <c r="L192" s="463"/>
    </row>
    <row r="193" spans="1:12">
      <c r="A193" s="463"/>
      <c r="B193" s="463"/>
      <c r="C193" s="463"/>
      <c r="D193" s="463"/>
      <c r="E193" s="463"/>
      <c r="F193" s="463"/>
      <c r="G193" s="463"/>
      <c r="H193" s="463"/>
      <c r="I193" s="463"/>
      <c r="J193" s="463"/>
      <c r="K193" s="463"/>
      <c r="L193" s="463"/>
    </row>
    <row r="194" spans="1:12">
      <c r="A194" s="463"/>
      <c r="B194" s="463"/>
      <c r="C194" s="463"/>
      <c r="D194" s="463"/>
      <c r="E194" s="463"/>
      <c r="F194" s="463"/>
      <c r="G194" s="463"/>
      <c r="H194" s="463"/>
      <c r="I194" s="463"/>
      <c r="J194" s="463"/>
      <c r="K194" s="463"/>
      <c r="L194" s="463"/>
    </row>
    <row r="195" spans="1:12">
      <c r="A195" s="463"/>
      <c r="B195" s="463"/>
      <c r="C195" s="463"/>
      <c r="D195" s="463"/>
      <c r="E195" s="463"/>
      <c r="F195" s="463"/>
      <c r="G195" s="463"/>
      <c r="H195" s="463"/>
      <c r="I195" s="463"/>
      <c r="J195" s="463"/>
      <c r="K195" s="463"/>
      <c r="L195" s="463"/>
    </row>
    <row r="196" spans="1:12">
      <c r="A196" s="463"/>
      <c r="B196" s="463"/>
      <c r="C196" s="463"/>
      <c r="D196" s="463"/>
      <c r="E196" s="463"/>
      <c r="F196" s="463"/>
      <c r="G196" s="463"/>
      <c r="H196" s="463"/>
      <c r="I196" s="463"/>
      <c r="J196" s="463"/>
      <c r="K196" s="463"/>
      <c r="L196" s="463"/>
    </row>
    <row r="197" spans="1:12">
      <c r="A197" s="463"/>
      <c r="B197" s="463"/>
      <c r="C197" s="463"/>
      <c r="D197" s="463"/>
      <c r="E197" s="463"/>
      <c r="F197" s="463"/>
      <c r="G197" s="463"/>
      <c r="H197" s="463"/>
      <c r="I197" s="463"/>
      <c r="J197" s="463"/>
      <c r="K197" s="463"/>
      <c r="L197" s="463"/>
    </row>
    <row r="198" spans="1:12">
      <c r="A198" s="463"/>
      <c r="B198" s="463"/>
      <c r="C198" s="463"/>
      <c r="D198" s="463"/>
      <c r="E198" s="463"/>
      <c r="F198" s="463"/>
      <c r="G198" s="463"/>
      <c r="H198" s="463"/>
      <c r="I198" s="463"/>
      <c r="J198" s="463"/>
      <c r="K198" s="463"/>
      <c r="L198" s="463"/>
    </row>
    <row r="199" spans="1:12">
      <c r="A199" s="463"/>
      <c r="B199" s="463"/>
      <c r="C199" s="463"/>
      <c r="D199" s="463"/>
      <c r="E199" s="463"/>
      <c r="F199" s="463"/>
      <c r="G199" s="463"/>
      <c r="H199" s="463"/>
      <c r="I199" s="463"/>
      <c r="J199" s="463"/>
      <c r="K199" s="463"/>
      <c r="L199" s="463"/>
    </row>
    <row r="200" spans="1:12">
      <c r="A200" s="463"/>
      <c r="B200" s="463"/>
      <c r="C200" s="463"/>
      <c r="D200" s="463"/>
      <c r="E200" s="463"/>
      <c r="F200" s="463"/>
      <c r="G200" s="463"/>
      <c r="H200" s="463"/>
      <c r="I200" s="463"/>
      <c r="J200" s="463"/>
      <c r="K200" s="463"/>
      <c r="L200" s="463"/>
    </row>
    <row r="201" spans="1:12">
      <c r="A201" s="463"/>
      <c r="B201" s="463"/>
      <c r="C201" s="463"/>
      <c r="D201" s="463"/>
      <c r="E201" s="463"/>
      <c r="F201" s="463"/>
      <c r="G201" s="463"/>
      <c r="H201" s="463"/>
      <c r="I201" s="463"/>
      <c r="J201" s="463"/>
      <c r="K201" s="463"/>
      <c r="L201" s="463"/>
    </row>
    <row r="202" spans="1:12">
      <c r="A202" s="463"/>
      <c r="B202" s="463"/>
      <c r="C202" s="463"/>
      <c r="D202" s="463"/>
      <c r="E202" s="463"/>
      <c r="F202" s="463"/>
      <c r="G202" s="463"/>
      <c r="H202" s="463"/>
      <c r="I202" s="463"/>
      <c r="J202" s="463"/>
      <c r="K202" s="463"/>
      <c r="L202" s="463"/>
    </row>
    <row r="203" spans="1:12">
      <c r="A203" s="463"/>
      <c r="B203" s="463"/>
      <c r="C203" s="463"/>
      <c r="D203" s="463"/>
      <c r="E203" s="463"/>
      <c r="F203" s="463"/>
      <c r="G203" s="463"/>
      <c r="H203" s="463"/>
      <c r="I203" s="463"/>
      <c r="J203" s="463"/>
      <c r="K203" s="463"/>
      <c r="L203" s="463"/>
    </row>
    <row r="204" spans="1:12">
      <c r="A204" s="463"/>
      <c r="B204" s="463"/>
      <c r="C204" s="463"/>
      <c r="D204" s="463"/>
      <c r="E204" s="463"/>
      <c r="F204" s="463"/>
      <c r="G204" s="463"/>
      <c r="H204" s="463"/>
      <c r="I204" s="463"/>
      <c r="J204" s="463"/>
      <c r="K204" s="463"/>
      <c r="L204" s="463"/>
    </row>
    <row r="205" spans="1:12">
      <c r="A205" s="463"/>
      <c r="B205" s="463"/>
      <c r="C205" s="463"/>
      <c r="D205" s="463"/>
      <c r="E205" s="463"/>
      <c r="F205" s="463"/>
      <c r="G205" s="463"/>
      <c r="H205" s="463"/>
      <c r="I205" s="463"/>
      <c r="J205" s="463"/>
      <c r="K205" s="463"/>
      <c r="L205" s="463"/>
    </row>
    <row r="206" spans="1:12">
      <c r="A206" s="463"/>
      <c r="B206" s="463"/>
      <c r="C206" s="463"/>
      <c r="D206" s="463"/>
      <c r="E206" s="463"/>
      <c r="F206" s="463"/>
      <c r="G206" s="463"/>
      <c r="H206" s="463"/>
      <c r="I206" s="463"/>
      <c r="J206" s="463"/>
      <c r="K206" s="463"/>
      <c r="L206" s="463"/>
    </row>
    <row r="207" spans="1:12">
      <c r="A207" s="463"/>
      <c r="B207" s="463"/>
      <c r="C207" s="463"/>
      <c r="D207" s="463"/>
      <c r="E207" s="463"/>
      <c r="F207" s="463"/>
      <c r="G207" s="463"/>
      <c r="H207" s="463"/>
      <c r="I207" s="463"/>
      <c r="J207" s="463"/>
      <c r="K207" s="463"/>
      <c r="L207" s="463"/>
    </row>
    <row r="208" spans="1:12">
      <c r="A208" s="463"/>
      <c r="B208" s="463"/>
      <c r="C208" s="463"/>
      <c r="D208" s="463"/>
      <c r="E208" s="463"/>
      <c r="F208" s="463"/>
      <c r="G208" s="463"/>
      <c r="H208" s="463"/>
      <c r="I208" s="463"/>
      <c r="J208" s="463"/>
      <c r="K208" s="463"/>
      <c r="L208" s="463"/>
    </row>
    <row r="209" spans="1:12">
      <c r="A209" s="463"/>
      <c r="B209" s="463"/>
      <c r="C209" s="463"/>
      <c r="D209" s="463"/>
      <c r="E209" s="463"/>
      <c r="F209" s="463"/>
      <c r="G209" s="463"/>
      <c r="H209" s="463"/>
      <c r="I209" s="463"/>
      <c r="J209" s="463"/>
      <c r="K209" s="463"/>
      <c r="L209" s="463"/>
    </row>
    <row r="210" spans="1:12">
      <c r="A210" s="463"/>
      <c r="B210" s="463"/>
      <c r="C210" s="463"/>
      <c r="D210" s="463"/>
      <c r="E210" s="463"/>
      <c r="F210" s="463"/>
      <c r="G210" s="463"/>
      <c r="H210" s="463"/>
      <c r="I210" s="463"/>
      <c r="J210" s="463"/>
      <c r="K210" s="463"/>
      <c r="L210" s="463"/>
    </row>
    <row r="211" spans="1:12">
      <c r="A211" s="463"/>
      <c r="B211" s="463"/>
      <c r="C211" s="463"/>
      <c r="D211" s="463"/>
      <c r="E211" s="463"/>
      <c r="F211" s="463"/>
      <c r="G211" s="463"/>
      <c r="H211" s="463"/>
      <c r="I211" s="463"/>
      <c r="J211" s="463"/>
      <c r="K211" s="463"/>
      <c r="L211" s="463"/>
    </row>
    <row r="212" spans="1:12">
      <c r="A212" s="463"/>
      <c r="B212" s="463"/>
      <c r="C212" s="463"/>
      <c r="D212" s="463"/>
      <c r="E212" s="463"/>
      <c r="F212" s="463"/>
      <c r="G212" s="463"/>
      <c r="H212" s="463"/>
      <c r="I212" s="463"/>
      <c r="J212" s="463"/>
      <c r="K212" s="463"/>
      <c r="L212" s="463"/>
    </row>
    <row r="213" spans="1:12">
      <c r="A213" s="463"/>
      <c r="B213" s="463"/>
      <c r="C213" s="463"/>
      <c r="D213" s="463"/>
      <c r="E213" s="463"/>
      <c r="F213" s="463"/>
      <c r="G213" s="463"/>
      <c r="H213" s="463"/>
      <c r="I213" s="463"/>
      <c r="J213" s="463"/>
      <c r="K213" s="463"/>
      <c r="L213" s="463"/>
    </row>
    <row r="214" spans="1:12">
      <c r="A214" s="463"/>
      <c r="B214" s="463"/>
      <c r="C214" s="463"/>
      <c r="D214" s="463"/>
      <c r="E214" s="463"/>
      <c r="F214" s="463"/>
      <c r="G214" s="463"/>
      <c r="H214" s="463"/>
      <c r="I214" s="463"/>
      <c r="J214" s="463"/>
      <c r="K214" s="463"/>
      <c r="L214" s="463"/>
    </row>
    <row r="215" spans="1:12">
      <c r="A215" s="463"/>
      <c r="B215" s="463"/>
      <c r="C215" s="463"/>
      <c r="D215" s="463"/>
      <c r="E215" s="463"/>
      <c r="F215" s="463"/>
      <c r="G215" s="463"/>
      <c r="H215" s="463"/>
      <c r="I215" s="463"/>
      <c r="J215" s="463"/>
      <c r="K215" s="463"/>
      <c r="L215" s="463"/>
    </row>
    <row r="216" spans="1:12">
      <c r="A216" s="463"/>
      <c r="B216" s="463"/>
      <c r="C216" s="463"/>
      <c r="D216" s="463"/>
      <c r="E216" s="463"/>
      <c r="F216" s="463"/>
      <c r="G216" s="463"/>
      <c r="H216" s="463"/>
      <c r="I216" s="463"/>
      <c r="J216" s="463"/>
      <c r="K216" s="463"/>
      <c r="L216" s="463"/>
    </row>
    <row r="217" spans="1:12">
      <c r="A217" s="463"/>
      <c r="B217" s="463"/>
      <c r="C217" s="463"/>
      <c r="D217" s="463"/>
      <c r="E217" s="463"/>
      <c r="F217" s="463"/>
      <c r="G217" s="463"/>
      <c r="H217" s="463"/>
      <c r="I217" s="463"/>
      <c r="J217" s="463"/>
      <c r="K217" s="463"/>
      <c r="L217" s="463"/>
    </row>
    <row r="218" spans="1:12">
      <c r="A218" s="463"/>
      <c r="B218" s="463"/>
      <c r="C218" s="463"/>
      <c r="D218" s="463"/>
      <c r="E218" s="463"/>
      <c r="F218" s="463"/>
      <c r="G218" s="463"/>
      <c r="H218" s="463"/>
      <c r="I218" s="463"/>
      <c r="J218" s="463"/>
      <c r="K218" s="463"/>
      <c r="L218" s="463"/>
    </row>
    <row r="219" spans="1:12">
      <c r="A219" s="463"/>
      <c r="B219" s="463"/>
      <c r="C219" s="463"/>
      <c r="D219" s="463"/>
      <c r="E219" s="463"/>
      <c r="F219" s="463"/>
      <c r="G219" s="463"/>
      <c r="H219" s="463"/>
      <c r="I219" s="463"/>
      <c r="J219" s="463"/>
      <c r="K219" s="463"/>
      <c r="L219" s="463"/>
    </row>
    <row r="220" spans="1:12">
      <c r="A220" s="463"/>
      <c r="B220" s="463"/>
      <c r="C220" s="463"/>
      <c r="D220" s="463"/>
      <c r="E220" s="463"/>
      <c r="F220" s="463"/>
      <c r="G220" s="463"/>
      <c r="H220" s="463"/>
      <c r="I220" s="463"/>
      <c r="J220" s="463"/>
      <c r="K220" s="463"/>
      <c r="L220" s="463"/>
    </row>
    <row r="221" spans="1:12">
      <c r="A221" s="463"/>
      <c r="B221" s="463"/>
      <c r="C221" s="463"/>
      <c r="D221" s="463"/>
      <c r="E221" s="463"/>
      <c r="F221" s="463"/>
      <c r="G221" s="463"/>
      <c r="H221" s="463"/>
      <c r="I221" s="463"/>
      <c r="J221" s="463"/>
      <c r="K221" s="463"/>
      <c r="L221" s="463"/>
    </row>
    <row r="222" spans="1:12">
      <c r="A222" s="463"/>
      <c r="B222" s="463"/>
      <c r="C222" s="463"/>
      <c r="D222" s="463"/>
      <c r="E222" s="463"/>
      <c r="F222" s="463"/>
      <c r="G222" s="463"/>
      <c r="H222" s="463"/>
      <c r="I222" s="463"/>
      <c r="J222" s="463"/>
      <c r="K222" s="463"/>
      <c r="L222" s="463"/>
    </row>
    <row r="223" spans="1:12">
      <c r="A223" s="463"/>
      <c r="B223" s="463"/>
      <c r="C223" s="463"/>
      <c r="D223" s="463"/>
      <c r="E223" s="463"/>
      <c r="F223" s="463"/>
      <c r="G223" s="463"/>
      <c r="H223" s="463"/>
      <c r="I223" s="463"/>
      <c r="J223" s="463"/>
      <c r="K223" s="463"/>
      <c r="L223" s="463"/>
    </row>
    <row r="224" spans="1:12">
      <c r="A224" s="463"/>
      <c r="B224" s="463"/>
      <c r="C224" s="463"/>
      <c r="D224" s="463"/>
      <c r="E224" s="463"/>
      <c r="F224" s="463"/>
      <c r="G224" s="463"/>
      <c r="H224" s="463"/>
      <c r="I224" s="463"/>
      <c r="J224" s="463"/>
      <c r="K224" s="463"/>
      <c r="L224" s="463"/>
    </row>
    <row r="225" spans="1:12">
      <c r="A225" s="463"/>
      <c r="B225" s="463"/>
      <c r="C225" s="463"/>
      <c r="D225" s="463"/>
      <c r="E225" s="463"/>
      <c r="F225" s="463"/>
      <c r="G225" s="463"/>
      <c r="H225" s="463"/>
      <c r="I225" s="463"/>
      <c r="J225" s="463"/>
      <c r="K225" s="463"/>
      <c r="L225" s="463"/>
    </row>
    <row r="226" spans="1:12">
      <c r="A226" s="463"/>
      <c r="B226" s="463"/>
      <c r="C226" s="463"/>
      <c r="D226" s="463"/>
      <c r="E226" s="463"/>
      <c r="F226" s="463"/>
      <c r="G226" s="463"/>
      <c r="H226" s="463"/>
      <c r="I226" s="463"/>
      <c r="J226" s="463"/>
      <c r="K226" s="463"/>
      <c r="L226" s="463"/>
    </row>
    <row r="227" spans="1:12">
      <c r="A227" s="463"/>
      <c r="B227" s="463"/>
      <c r="C227" s="463"/>
      <c r="D227" s="463"/>
      <c r="E227" s="463"/>
      <c r="F227" s="463"/>
      <c r="G227" s="463"/>
      <c r="H227" s="463"/>
      <c r="I227" s="463"/>
      <c r="J227" s="463"/>
      <c r="K227" s="463"/>
      <c r="L227" s="463"/>
    </row>
    <row r="228" spans="1:12">
      <c r="A228" s="463"/>
      <c r="B228" s="463"/>
      <c r="C228" s="463"/>
      <c r="D228" s="463"/>
      <c r="E228" s="463"/>
      <c r="F228" s="463"/>
      <c r="G228" s="463"/>
      <c r="H228" s="463"/>
      <c r="I228" s="463"/>
      <c r="J228" s="463"/>
      <c r="K228" s="463"/>
      <c r="L228" s="463"/>
    </row>
    <row r="229" spans="1:12">
      <c r="A229" s="463"/>
      <c r="B229" s="463"/>
      <c r="C229" s="463"/>
      <c r="D229" s="463"/>
      <c r="E229" s="463"/>
      <c r="F229" s="463"/>
      <c r="G229" s="463"/>
      <c r="H229" s="463"/>
      <c r="I229" s="463"/>
      <c r="J229" s="463"/>
      <c r="K229" s="463"/>
      <c r="L229" s="463"/>
    </row>
    <row r="230" spans="1:12">
      <c r="A230" s="463"/>
      <c r="B230" s="463"/>
      <c r="C230" s="463"/>
      <c r="D230" s="463"/>
      <c r="E230" s="463"/>
      <c r="F230" s="463"/>
      <c r="G230" s="463"/>
      <c r="H230" s="463"/>
      <c r="I230" s="463"/>
      <c r="J230" s="463"/>
      <c r="K230" s="463"/>
      <c r="L230" s="463"/>
    </row>
    <row r="231" spans="1:12">
      <c r="A231" s="463"/>
      <c r="B231" s="463"/>
      <c r="C231" s="463"/>
      <c r="D231" s="463"/>
      <c r="E231" s="463"/>
      <c r="F231" s="463"/>
      <c r="G231" s="463"/>
      <c r="H231" s="463"/>
      <c r="I231" s="463"/>
      <c r="J231" s="463"/>
      <c r="K231" s="463"/>
      <c r="L231" s="463"/>
    </row>
    <row r="232" spans="1:12">
      <c r="A232" s="463"/>
      <c r="B232" s="463"/>
      <c r="C232" s="463"/>
      <c r="D232" s="463"/>
      <c r="E232" s="463"/>
      <c r="F232" s="463"/>
      <c r="G232" s="463"/>
      <c r="H232" s="463"/>
      <c r="I232" s="463"/>
      <c r="J232" s="463"/>
      <c r="K232" s="463"/>
      <c r="L232" s="463"/>
    </row>
    <row r="233" spans="1:12">
      <c r="A233" s="463"/>
      <c r="B233" s="463"/>
      <c r="C233" s="463"/>
      <c r="D233" s="463"/>
      <c r="E233" s="463"/>
      <c r="F233" s="463"/>
      <c r="G233" s="463"/>
      <c r="H233" s="463"/>
      <c r="I233" s="463"/>
      <c r="J233" s="463"/>
      <c r="K233" s="463"/>
      <c r="L233" s="463"/>
    </row>
    <row r="234" spans="1:12">
      <c r="A234" s="463"/>
      <c r="B234" s="463"/>
      <c r="C234" s="463"/>
      <c r="D234" s="463"/>
      <c r="E234" s="463"/>
      <c r="F234" s="463"/>
      <c r="G234" s="463"/>
      <c r="H234" s="463"/>
      <c r="I234" s="463"/>
      <c r="J234" s="463"/>
      <c r="K234" s="463"/>
      <c r="L234" s="463"/>
    </row>
    <row r="235" spans="1:12">
      <c r="A235" s="463"/>
      <c r="B235" s="463"/>
      <c r="C235" s="463"/>
      <c r="D235" s="463"/>
      <c r="E235" s="463"/>
      <c r="F235" s="463"/>
      <c r="G235" s="463"/>
      <c r="H235" s="463"/>
      <c r="I235" s="463"/>
      <c r="J235" s="463"/>
      <c r="K235" s="463"/>
      <c r="L235" s="463"/>
    </row>
    <row r="236" spans="1:12">
      <c r="A236" s="463"/>
      <c r="B236" s="463"/>
      <c r="C236" s="463"/>
      <c r="D236" s="463"/>
      <c r="E236" s="463"/>
      <c r="F236" s="463"/>
      <c r="G236" s="463"/>
      <c r="H236" s="463"/>
      <c r="I236" s="463"/>
      <c r="J236" s="463"/>
      <c r="K236" s="463"/>
      <c r="L236" s="463"/>
    </row>
    <row r="237" spans="1:12">
      <c r="A237" s="463"/>
      <c r="B237" s="463"/>
      <c r="C237" s="463"/>
      <c r="D237" s="463"/>
      <c r="E237" s="463"/>
      <c r="F237" s="463"/>
      <c r="G237" s="463"/>
      <c r="H237" s="463"/>
      <c r="I237" s="463"/>
      <c r="J237" s="463"/>
      <c r="K237" s="463"/>
      <c r="L237" s="463"/>
    </row>
    <row r="238" spans="1:12">
      <c r="A238" s="463"/>
      <c r="B238" s="463"/>
      <c r="C238" s="463"/>
      <c r="D238" s="463"/>
      <c r="E238" s="463"/>
      <c r="F238" s="463"/>
      <c r="G238" s="463"/>
      <c r="H238" s="463"/>
      <c r="I238" s="463"/>
      <c r="J238" s="463"/>
      <c r="K238" s="463"/>
      <c r="L238" s="463"/>
    </row>
    <row r="239" spans="1:12">
      <c r="A239" s="463"/>
      <c r="B239" s="463"/>
      <c r="C239" s="463"/>
      <c r="D239" s="463"/>
      <c r="E239" s="463"/>
      <c r="F239" s="463"/>
      <c r="G239" s="463"/>
      <c r="H239" s="463"/>
      <c r="I239" s="463"/>
      <c r="J239" s="463"/>
      <c r="K239" s="463"/>
      <c r="L239" s="463"/>
    </row>
    <row r="240" spans="1:12">
      <c r="A240" s="463"/>
      <c r="B240" s="463"/>
      <c r="C240" s="463"/>
      <c r="D240" s="463"/>
      <c r="E240" s="463"/>
      <c r="F240" s="463"/>
      <c r="G240" s="463"/>
      <c r="H240" s="463"/>
      <c r="I240" s="463"/>
      <c r="J240" s="463"/>
      <c r="K240" s="463"/>
      <c r="L240" s="463"/>
    </row>
    <row r="241" spans="1:12">
      <c r="A241" s="463"/>
      <c r="B241" s="463"/>
      <c r="C241" s="463"/>
      <c r="D241" s="463"/>
      <c r="E241" s="463"/>
      <c r="F241" s="463"/>
      <c r="G241" s="463"/>
      <c r="H241" s="463"/>
      <c r="I241" s="463"/>
      <c r="J241" s="463"/>
      <c r="K241" s="463"/>
      <c r="L241" s="463"/>
    </row>
    <row r="242" spans="1:12">
      <c r="A242" s="463"/>
      <c r="B242" s="463"/>
      <c r="C242" s="463"/>
      <c r="D242" s="463"/>
      <c r="E242" s="463"/>
      <c r="F242" s="463"/>
      <c r="G242" s="463"/>
      <c r="H242" s="463"/>
      <c r="I242" s="463"/>
      <c r="J242" s="463"/>
      <c r="K242" s="463"/>
      <c r="L242" s="463"/>
    </row>
    <row r="243" spans="1:12">
      <c r="A243" s="463"/>
      <c r="B243" s="463"/>
      <c r="C243" s="463"/>
      <c r="D243" s="463"/>
      <c r="E243" s="463"/>
      <c r="F243" s="463"/>
      <c r="G243" s="463"/>
      <c r="H243" s="463"/>
      <c r="I243" s="463"/>
      <c r="J243" s="463"/>
      <c r="K243" s="463"/>
      <c r="L243" s="463"/>
    </row>
    <row r="244" spans="1:12">
      <c r="A244" s="463"/>
      <c r="B244" s="463"/>
      <c r="C244" s="463"/>
      <c r="D244" s="463"/>
      <c r="E244" s="463"/>
      <c r="F244" s="463"/>
      <c r="G244" s="463"/>
      <c r="H244" s="463"/>
      <c r="I244" s="463"/>
      <c r="J244" s="463"/>
      <c r="K244" s="463"/>
      <c r="L244" s="463"/>
    </row>
    <row r="245" spans="1:12">
      <c r="A245" s="463"/>
      <c r="B245" s="463"/>
      <c r="C245" s="463"/>
      <c r="D245" s="463"/>
      <c r="E245" s="463"/>
      <c r="F245" s="463"/>
      <c r="G245" s="463"/>
      <c r="H245" s="463"/>
      <c r="I245" s="463"/>
      <c r="J245" s="463"/>
      <c r="K245" s="463"/>
      <c r="L245" s="463"/>
    </row>
    <row r="246" spans="1:12">
      <c r="A246" s="463"/>
      <c r="B246" s="463"/>
      <c r="C246" s="463"/>
      <c r="D246" s="463"/>
      <c r="E246" s="463"/>
      <c r="F246" s="463"/>
      <c r="G246" s="463"/>
      <c r="H246" s="463"/>
      <c r="I246" s="463"/>
      <c r="J246" s="463"/>
      <c r="K246" s="463"/>
      <c r="L246" s="463"/>
    </row>
    <row r="247" spans="1:12">
      <c r="A247" s="463"/>
      <c r="B247" s="463"/>
      <c r="C247" s="463"/>
      <c r="D247" s="463"/>
      <c r="E247" s="463"/>
      <c r="F247" s="463"/>
      <c r="G247" s="463"/>
      <c r="H247" s="463"/>
      <c r="I247" s="463"/>
      <c r="J247" s="463"/>
      <c r="K247" s="463"/>
      <c r="L247" s="463"/>
    </row>
    <row r="248" spans="1:12">
      <c r="A248" s="463"/>
      <c r="B248" s="463"/>
      <c r="C248" s="463"/>
      <c r="D248" s="463"/>
      <c r="E248" s="463"/>
      <c r="F248" s="463"/>
      <c r="G248" s="463"/>
      <c r="H248" s="463"/>
      <c r="I248" s="463"/>
      <c r="J248" s="463"/>
      <c r="K248" s="463"/>
      <c r="L248" s="463"/>
    </row>
    <row r="249" spans="1:12">
      <c r="A249" s="463"/>
      <c r="B249" s="463"/>
      <c r="C249" s="463"/>
      <c r="D249" s="463"/>
      <c r="E249" s="463"/>
      <c r="F249" s="463"/>
      <c r="G249" s="463"/>
      <c r="H249" s="463"/>
      <c r="I249" s="463"/>
      <c r="J249" s="463"/>
      <c r="K249" s="463"/>
      <c r="L249" s="463"/>
    </row>
    <row r="250" spans="1:12">
      <c r="A250" s="463"/>
      <c r="B250" s="463"/>
      <c r="C250" s="463"/>
      <c r="D250" s="463"/>
      <c r="E250" s="463"/>
      <c r="F250" s="463"/>
      <c r="G250" s="463"/>
      <c r="H250" s="463"/>
      <c r="I250" s="463"/>
      <c r="J250" s="463"/>
      <c r="K250" s="463"/>
      <c r="L250" s="463"/>
    </row>
    <row r="251" spans="1:12">
      <c r="A251" s="463"/>
      <c r="B251" s="463"/>
      <c r="C251" s="463"/>
      <c r="D251" s="463"/>
      <c r="E251" s="463"/>
      <c r="F251" s="463"/>
      <c r="G251" s="463"/>
      <c r="H251" s="463"/>
      <c r="I251" s="463"/>
      <c r="J251" s="463"/>
      <c r="K251" s="463"/>
      <c r="L251" s="463"/>
    </row>
    <row r="252" spans="1:12">
      <c r="A252" s="463"/>
      <c r="B252" s="463"/>
      <c r="C252" s="463"/>
      <c r="D252" s="463"/>
      <c r="E252" s="463"/>
      <c r="F252" s="463"/>
      <c r="G252" s="463"/>
      <c r="H252" s="463"/>
      <c r="I252" s="463"/>
      <c r="J252" s="463"/>
      <c r="K252" s="463"/>
      <c r="L252" s="463"/>
    </row>
    <row r="253" spans="1:12">
      <c r="A253" s="463"/>
      <c r="B253" s="463"/>
      <c r="C253" s="463"/>
      <c r="D253" s="463"/>
      <c r="E253" s="463"/>
      <c r="F253" s="463"/>
      <c r="G253" s="463"/>
      <c r="H253" s="463"/>
      <c r="I253" s="463"/>
      <c r="J253" s="463"/>
      <c r="K253" s="463"/>
      <c r="L253" s="463"/>
    </row>
    <row r="254" spans="1:12">
      <c r="A254" s="463"/>
      <c r="B254" s="463"/>
      <c r="C254" s="463"/>
      <c r="D254" s="463"/>
      <c r="E254" s="463"/>
      <c r="F254" s="463"/>
      <c r="G254" s="463"/>
      <c r="H254" s="463"/>
      <c r="I254" s="463"/>
      <c r="J254" s="463"/>
      <c r="K254" s="463"/>
      <c r="L254" s="463"/>
    </row>
    <row r="255" spans="1:12">
      <c r="A255" s="463"/>
      <c r="B255" s="463"/>
      <c r="C255" s="463"/>
      <c r="D255" s="463"/>
      <c r="E255" s="463"/>
      <c r="F255" s="463"/>
      <c r="G255" s="463"/>
      <c r="H255" s="463"/>
      <c r="I255" s="463"/>
      <c r="J255" s="463"/>
      <c r="K255" s="463"/>
      <c r="L255" s="463"/>
    </row>
    <row r="256" spans="1:12">
      <c r="A256" s="463"/>
      <c r="B256" s="463"/>
      <c r="C256" s="463"/>
      <c r="D256" s="463"/>
      <c r="E256" s="463"/>
      <c r="F256" s="463"/>
      <c r="G256" s="463"/>
      <c r="H256" s="463"/>
      <c r="I256" s="463"/>
      <c r="J256" s="463"/>
      <c r="K256" s="463"/>
      <c r="L256" s="463"/>
    </row>
    <row r="257" spans="1:12">
      <c r="A257" s="463"/>
      <c r="B257" s="463"/>
      <c r="C257" s="463"/>
      <c r="D257" s="463"/>
      <c r="E257" s="463"/>
      <c r="F257" s="463"/>
      <c r="G257" s="463"/>
      <c r="H257" s="463"/>
      <c r="I257" s="463"/>
      <c r="J257" s="463"/>
      <c r="K257" s="463"/>
      <c r="L257" s="463"/>
    </row>
    <row r="258" spans="1:12">
      <c r="A258" s="463"/>
      <c r="B258" s="463"/>
      <c r="C258" s="463"/>
      <c r="D258" s="463"/>
      <c r="E258" s="463"/>
      <c r="F258" s="463"/>
      <c r="G258" s="463"/>
      <c r="H258" s="463"/>
      <c r="I258" s="463"/>
      <c r="J258" s="463"/>
      <c r="K258" s="463"/>
      <c r="L258" s="463"/>
    </row>
    <row r="259" spans="1:12">
      <c r="A259" s="463"/>
      <c r="B259" s="463"/>
      <c r="C259" s="463"/>
      <c r="D259" s="463"/>
      <c r="E259" s="463"/>
      <c r="F259" s="463"/>
      <c r="G259" s="463"/>
      <c r="H259" s="463"/>
      <c r="I259" s="463"/>
      <c r="J259" s="463"/>
      <c r="K259" s="463"/>
      <c r="L259" s="463"/>
    </row>
    <row r="260" spans="1:12">
      <c r="A260" s="463"/>
      <c r="B260" s="463"/>
      <c r="C260" s="463"/>
      <c r="D260" s="463"/>
      <c r="E260" s="463"/>
      <c r="F260" s="463"/>
      <c r="G260" s="463"/>
      <c r="H260" s="463"/>
      <c r="I260" s="463"/>
      <c r="J260" s="463"/>
      <c r="K260" s="463"/>
      <c r="L260" s="463"/>
    </row>
    <row r="261" spans="1:12">
      <c r="A261" s="463"/>
      <c r="B261" s="463"/>
      <c r="C261" s="463"/>
      <c r="D261" s="463"/>
      <c r="E261" s="463"/>
      <c r="F261" s="463"/>
      <c r="G261" s="463"/>
      <c r="H261" s="463"/>
      <c r="I261" s="463"/>
      <c r="J261" s="463"/>
      <c r="K261" s="463"/>
      <c r="L261" s="463"/>
    </row>
    <row r="262" spans="1:12">
      <c r="A262" s="463"/>
      <c r="B262" s="463"/>
      <c r="C262" s="463"/>
      <c r="D262" s="463"/>
      <c r="E262" s="463"/>
      <c r="F262" s="463"/>
      <c r="G262" s="463"/>
      <c r="H262" s="463"/>
      <c r="I262" s="463"/>
      <c r="J262" s="463"/>
      <c r="K262" s="463"/>
      <c r="L262" s="463"/>
    </row>
    <row r="263" spans="1:12">
      <c r="A263" s="463"/>
      <c r="B263" s="463"/>
      <c r="C263" s="463"/>
      <c r="D263" s="463"/>
      <c r="E263" s="463"/>
      <c r="F263" s="463"/>
      <c r="G263" s="463"/>
      <c r="H263" s="463"/>
      <c r="I263" s="463"/>
      <c r="J263" s="463"/>
      <c r="K263" s="463"/>
      <c r="L263" s="463"/>
    </row>
    <row r="264" spans="1:12">
      <c r="A264" s="463"/>
      <c r="B264" s="463"/>
      <c r="C264" s="463"/>
      <c r="D264" s="463"/>
      <c r="E264" s="463"/>
      <c r="F264" s="463"/>
      <c r="G264" s="463"/>
      <c r="H264" s="463"/>
      <c r="I264" s="463"/>
      <c r="J264" s="463"/>
      <c r="K264" s="463"/>
      <c r="L264" s="463"/>
    </row>
    <row r="265" spans="1:12">
      <c r="A265" s="463"/>
      <c r="B265" s="463"/>
      <c r="C265" s="463"/>
      <c r="D265" s="463"/>
      <c r="E265" s="463"/>
      <c r="F265" s="463"/>
      <c r="G265" s="463"/>
      <c r="H265" s="463"/>
      <c r="I265" s="463"/>
      <c r="J265" s="463"/>
      <c r="K265" s="463"/>
      <c r="L265" s="463"/>
    </row>
    <row r="266" spans="1:12">
      <c r="A266" s="463"/>
      <c r="B266" s="463"/>
      <c r="C266" s="463"/>
      <c r="D266" s="463"/>
      <c r="E266" s="463"/>
      <c r="F266" s="463"/>
      <c r="G266" s="463"/>
      <c r="H266" s="463"/>
      <c r="I266" s="463"/>
      <c r="J266" s="463"/>
      <c r="K266" s="463"/>
      <c r="L266" s="463"/>
    </row>
    <row r="267" spans="1:12">
      <c r="A267" s="463"/>
      <c r="B267" s="463"/>
      <c r="C267" s="463"/>
      <c r="D267" s="463"/>
      <c r="E267" s="463"/>
      <c r="F267" s="463"/>
      <c r="G267" s="463"/>
      <c r="H267" s="463"/>
      <c r="I267" s="463"/>
      <c r="J267" s="463"/>
      <c r="K267" s="463"/>
      <c r="L267" s="463"/>
    </row>
    <row r="268" spans="1:12">
      <c r="A268" s="463"/>
      <c r="B268" s="463"/>
      <c r="C268" s="463"/>
      <c r="D268" s="463"/>
      <c r="E268" s="463"/>
      <c r="F268" s="463"/>
      <c r="G268" s="463"/>
      <c r="H268" s="463"/>
      <c r="I268" s="463"/>
      <c r="J268" s="463"/>
      <c r="K268" s="463"/>
      <c r="L268" s="463"/>
    </row>
    <row r="269" spans="1:12">
      <c r="A269" s="463"/>
      <c r="B269" s="463"/>
      <c r="C269" s="463"/>
      <c r="D269" s="463"/>
      <c r="E269" s="463"/>
      <c r="F269" s="463"/>
      <c r="G269" s="463"/>
      <c r="H269" s="463"/>
      <c r="I269" s="463"/>
      <c r="J269" s="463"/>
      <c r="K269" s="463"/>
      <c r="L269" s="463"/>
    </row>
    <row r="270" spans="1:12">
      <c r="A270" s="463"/>
      <c r="B270" s="463"/>
      <c r="C270" s="463"/>
      <c r="D270" s="463"/>
      <c r="E270" s="463"/>
      <c r="F270" s="463"/>
      <c r="G270" s="463"/>
      <c r="H270" s="463"/>
      <c r="I270" s="463"/>
      <c r="J270" s="463"/>
      <c r="K270" s="463"/>
      <c r="L270" s="463"/>
    </row>
    <row r="271" spans="1:12">
      <c r="A271" s="463"/>
      <c r="B271" s="463"/>
      <c r="C271" s="463"/>
      <c r="D271" s="463"/>
      <c r="E271" s="463"/>
      <c r="F271" s="463"/>
      <c r="G271" s="463"/>
      <c r="H271" s="463"/>
      <c r="I271" s="463"/>
      <c r="J271" s="463"/>
      <c r="K271" s="463"/>
      <c r="L271" s="463"/>
    </row>
    <row r="272" spans="1:12">
      <c r="A272" s="463"/>
      <c r="B272" s="463"/>
      <c r="C272" s="463"/>
      <c r="D272" s="463"/>
      <c r="E272" s="463"/>
      <c r="F272" s="463"/>
      <c r="G272" s="463"/>
      <c r="H272" s="463"/>
      <c r="I272" s="463"/>
      <c r="J272" s="463"/>
      <c r="K272" s="463"/>
      <c r="L272" s="463"/>
    </row>
    <row r="273" spans="1:12">
      <c r="A273" s="463"/>
      <c r="B273" s="463"/>
      <c r="C273" s="463"/>
      <c r="D273" s="463"/>
      <c r="E273" s="463"/>
      <c r="F273" s="463"/>
      <c r="G273" s="463"/>
      <c r="H273" s="463"/>
      <c r="I273" s="463"/>
      <c r="J273" s="463"/>
      <c r="K273" s="463"/>
      <c r="L273" s="463"/>
    </row>
    <row r="274" spans="1:12">
      <c r="A274" s="463"/>
      <c r="B274" s="463"/>
      <c r="C274" s="463"/>
      <c r="D274" s="463"/>
      <c r="E274" s="463"/>
      <c r="F274" s="463"/>
      <c r="G274" s="463"/>
      <c r="H274" s="463"/>
      <c r="I274" s="463"/>
      <c r="J274" s="463"/>
      <c r="K274" s="463"/>
      <c r="L274" s="463"/>
    </row>
    <row r="275" spans="1:12">
      <c r="A275" s="463"/>
      <c r="B275" s="463"/>
      <c r="C275" s="463"/>
      <c r="D275" s="463"/>
      <c r="E275" s="463"/>
      <c r="F275" s="463"/>
      <c r="G275" s="463"/>
      <c r="H275" s="463"/>
      <c r="I275" s="463"/>
      <c r="J275" s="463"/>
      <c r="K275" s="463"/>
      <c r="L275" s="463"/>
    </row>
    <row r="276" spans="1:12">
      <c r="A276" s="463"/>
      <c r="B276" s="463"/>
      <c r="C276" s="463"/>
      <c r="D276" s="463"/>
      <c r="E276" s="463"/>
      <c r="F276" s="463"/>
      <c r="G276" s="463"/>
      <c r="H276" s="463"/>
      <c r="I276" s="463"/>
      <c r="J276" s="463"/>
      <c r="K276" s="463"/>
      <c r="L276" s="463"/>
    </row>
    <row r="277" spans="1:12">
      <c r="A277" s="463"/>
      <c r="B277" s="463"/>
      <c r="C277" s="463"/>
      <c r="D277" s="463"/>
      <c r="E277" s="463"/>
      <c r="F277" s="463"/>
      <c r="G277" s="463"/>
      <c r="H277" s="463"/>
      <c r="I277" s="463"/>
      <c r="J277" s="463"/>
      <c r="K277" s="463"/>
      <c r="L277" s="463"/>
    </row>
    <row r="278" spans="1:12">
      <c r="A278" s="463"/>
      <c r="B278" s="463"/>
      <c r="C278" s="463"/>
      <c r="D278" s="463"/>
      <c r="E278" s="463"/>
      <c r="F278" s="463"/>
      <c r="G278" s="463"/>
      <c r="H278" s="463"/>
      <c r="I278" s="463"/>
      <c r="J278" s="463"/>
      <c r="K278" s="463"/>
      <c r="L278" s="463"/>
    </row>
    <row r="279" spans="1:12">
      <c r="A279" s="463"/>
      <c r="B279" s="463"/>
      <c r="C279" s="463"/>
      <c r="D279" s="463"/>
      <c r="E279" s="463"/>
      <c r="F279" s="463"/>
      <c r="G279" s="463"/>
      <c r="H279" s="463"/>
      <c r="I279" s="463"/>
      <c r="J279" s="463"/>
      <c r="K279" s="463"/>
      <c r="L279" s="463"/>
    </row>
    <row r="280" spans="1:12">
      <c r="A280" s="463"/>
      <c r="B280" s="463"/>
      <c r="C280" s="463"/>
      <c r="D280" s="463"/>
      <c r="E280" s="463"/>
      <c r="F280" s="463"/>
      <c r="G280" s="463"/>
      <c r="H280" s="463"/>
      <c r="I280" s="463"/>
      <c r="J280" s="463"/>
      <c r="K280" s="463"/>
      <c r="L280" s="463"/>
    </row>
    <row r="281" spans="1:12">
      <c r="A281" s="463"/>
      <c r="B281" s="463"/>
      <c r="C281" s="463"/>
      <c r="D281" s="463"/>
      <c r="E281" s="463"/>
      <c r="F281" s="463"/>
      <c r="G281" s="463"/>
      <c r="H281" s="463"/>
      <c r="I281" s="463"/>
      <c r="J281" s="463"/>
      <c r="K281" s="463"/>
      <c r="L281" s="463"/>
    </row>
    <row r="282" spans="1:12">
      <c r="A282" s="463"/>
      <c r="B282" s="463"/>
      <c r="C282" s="463"/>
      <c r="D282" s="463"/>
      <c r="E282" s="463"/>
      <c r="F282" s="463"/>
      <c r="G282" s="463"/>
      <c r="H282" s="463"/>
      <c r="I282" s="463"/>
      <c r="J282" s="463"/>
      <c r="K282" s="463"/>
      <c r="L282" s="463"/>
    </row>
    <row r="283" spans="1:12">
      <c r="A283" s="463"/>
      <c r="B283" s="463"/>
      <c r="C283" s="463"/>
      <c r="D283" s="463"/>
      <c r="E283" s="463"/>
      <c r="F283" s="463"/>
      <c r="G283" s="463"/>
      <c r="H283" s="463"/>
      <c r="I283" s="463"/>
      <c r="J283" s="463"/>
      <c r="K283" s="463"/>
      <c r="L283" s="463"/>
    </row>
    <row r="284" spans="1:12">
      <c r="A284" s="463"/>
      <c r="B284" s="463"/>
      <c r="C284" s="463"/>
      <c r="D284" s="463"/>
      <c r="E284" s="463"/>
      <c r="F284" s="463"/>
      <c r="G284" s="463"/>
      <c r="H284" s="463"/>
      <c r="I284" s="463"/>
      <c r="J284" s="463"/>
      <c r="K284" s="463"/>
      <c r="L284" s="463"/>
    </row>
    <row r="285" spans="1:12">
      <c r="A285" s="463"/>
      <c r="B285" s="463"/>
      <c r="C285" s="463"/>
      <c r="D285" s="463"/>
      <c r="E285" s="463"/>
      <c r="F285" s="463"/>
      <c r="G285" s="463"/>
      <c r="H285" s="463"/>
      <c r="I285" s="463"/>
      <c r="J285" s="463"/>
      <c r="K285" s="463"/>
      <c r="L285" s="463"/>
    </row>
    <row r="286" spans="1:12">
      <c r="A286" s="463"/>
      <c r="B286" s="463"/>
      <c r="C286" s="463"/>
      <c r="D286" s="463"/>
      <c r="E286" s="463"/>
      <c r="F286" s="463"/>
      <c r="G286" s="463"/>
      <c r="H286" s="463"/>
      <c r="I286" s="463"/>
      <c r="J286" s="463"/>
      <c r="K286" s="463"/>
      <c r="L286" s="463"/>
    </row>
    <row r="287" spans="1:12">
      <c r="A287" s="463"/>
      <c r="B287" s="463"/>
      <c r="C287" s="463"/>
      <c r="D287" s="463"/>
      <c r="E287" s="463"/>
      <c r="F287" s="463"/>
      <c r="G287" s="463"/>
      <c r="H287" s="463"/>
      <c r="I287" s="463"/>
      <c r="J287" s="463"/>
      <c r="K287" s="463"/>
      <c r="L287" s="463"/>
    </row>
    <row r="288" spans="1:12">
      <c r="A288" s="463"/>
      <c r="B288" s="463"/>
      <c r="C288" s="463"/>
      <c r="D288" s="463"/>
      <c r="E288" s="463"/>
      <c r="F288" s="463"/>
      <c r="G288" s="463"/>
      <c r="H288" s="463"/>
      <c r="I288" s="463"/>
      <c r="J288" s="463"/>
      <c r="K288" s="463"/>
      <c r="L288" s="463"/>
    </row>
    <row r="289" spans="1:12">
      <c r="A289" s="463"/>
      <c r="B289" s="463"/>
      <c r="C289" s="463"/>
      <c r="D289" s="463"/>
      <c r="E289" s="463"/>
      <c r="F289" s="463"/>
      <c r="G289" s="463"/>
      <c r="H289" s="463"/>
      <c r="I289" s="463"/>
      <c r="J289" s="463"/>
      <c r="K289" s="463"/>
      <c r="L289" s="463"/>
    </row>
    <row r="290" spans="1:12">
      <c r="A290" s="463"/>
      <c r="B290" s="463"/>
      <c r="C290" s="463"/>
      <c r="D290" s="463"/>
      <c r="E290" s="463"/>
      <c r="F290" s="463"/>
      <c r="G290" s="463"/>
      <c r="H290" s="463"/>
      <c r="I290" s="463"/>
      <c r="J290" s="463"/>
      <c r="K290" s="463"/>
      <c r="L290" s="463"/>
    </row>
    <row r="291" spans="1:12">
      <c r="A291" s="463"/>
      <c r="B291" s="463"/>
      <c r="C291" s="463"/>
      <c r="D291" s="463"/>
      <c r="E291" s="463"/>
      <c r="F291" s="463"/>
      <c r="G291" s="463"/>
      <c r="H291" s="463"/>
      <c r="I291" s="463"/>
      <c r="J291" s="463"/>
      <c r="K291" s="463"/>
      <c r="L291" s="463"/>
    </row>
    <row r="292" spans="1:12">
      <c r="A292" s="463"/>
      <c r="B292" s="463"/>
      <c r="C292" s="463"/>
      <c r="D292" s="463"/>
      <c r="E292" s="463"/>
      <c r="F292" s="463"/>
      <c r="G292" s="463"/>
      <c r="H292" s="463"/>
      <c r="I292" s="463"/>
      <c r="J292" s="463"/>
      <c r="K292" s="463"/>
      <c r="L292" s="463"/>
    </row>
    <row r="293" spans="1:12">
      <c r="A293" s="463"/>
      <c r="B293" s="463"/>
      <c r="C293" s="463"/>
      <c r="D293" s="463"/>
      <c r="E293" s="463"/>
      <c r="F293" s="463"/>
      <c r="G293" s="463"/>
      <c r="H293" s="463"/>
      <c r="I293" s="463"/>
      <c r="J293" s="463"/>
      <c r="K293" s="463"/>
      <c r="L293" s="463"/>
    </row>
    <row r="294" spans="1:12">
      <c r="A294" s="463"/>
      <c r="B294" s="463"/>
      <c r="C294" s="463"/>
      <c r="D294" s="463"/>
      <c r="E294" s="463"/>
      <c r="F294" s="463"/>
      <c r="G294" s="463"/>
      <c r="H294" s="463"/>
      <c r="I294" s="463"/>
      <c r="J294" s="463"/>
      <c r="K294" s="463"/>
      <c r="L294" s="463"/>
    </row>
    <row r="295" spans="1:12">
      <c r="A295" s="463"/>
      <c r="B295" s="463"/>
      <c r="C295" s="463"/>
      <c r="D295" s="463"/>
      <c r="E295" s="463"/>
      <c r="F295" s="463"/>
      <c r="G295" s="463"/>
      <c r="H295" s="463"/>
      <c r="I295" s="463"/>
      <c r="J295" s="463"/>
      <c r="K295" s="463"/>
      <c r="L295" s="463"/>
    </row>
    <row r="296" spans="1:12">
      <c r="A296" s="463"/>
      <c r="B296" s="463"/>
      <c r="C296" s="463"/>
      <c r="D296" s="463"/>
      <c r="E296" s="463"/>
      <c r="F296" s="463"/>
      <c r="G296" s="463"/>
      <c r="H296" s="463"/>
      <c r="I296" s="463"/>
      <c r="J296" s="463"/>
      <c r="K296" s="463"/>
      <c r="L296" s="463"/>
    </row>
    <row r="297" spans="1:12">
      <c r="A297" s="463"/>
      <c r="B297" s="463"/>
      <c r="C297" s="463"/>
      <c r="D297" s="463"/>
      <c r="E297" s="463"/>
      <c r="F297" s="463"/>
      <c r="G297" s="463"/>
      <c r="H297" s="463"/>
      <c r="I297" s="463"/>
      <c r="J297" s="463"/>
      <c r="K297" s="463"/>
      <c r="L297" s="463"/>
    </row>
    <row r="298" spans="1:12">
      <c r="A298" s="463"/>
      <c r="B298" s="463"/>
      <c r="C298" s="463"/>
      <c r="D298" s="463"/>
      <c r="E298" s="463"/>
      <c r="F298" s="463"/>
      <c r="G298" s="463"/>
      <c r="H298" s="463"/>
      <c r="I298" s="463"/>
      <c r="J298" s="463"/>
      <c r="K298" s="463"/>
      <c r="L298" s="463"/>
    </row>
    <row r="299" spans="1:12">
      <c r="A299" s="463"/>
      <c r="B299" s="463"/>
      <c r="C299" s="463"/>
      <c r="D299" s="463"/>
      <c r="E299" s="463"/>
      <c r="F299" s="463"/>
      <c r="G299" s="463"/>
      <c r="H299" s="463"/>
      <c r="I299" s="463"/>
      <c r="J299" s="463"/>
      <c r="K299" s="463"/>
      <c r="L299" s="463"/>
    </row>
    <row r="300" spans="1:12">
      <c r="A300" s="463"/>
      <c r="B300" s="463"/>
      <c r="C300" s="463"/>
      <c r="D300" s="463"/>
      <c r="E300" s="463"/>
      <c r="F300" s="463"/>
      <c r="G300" s="463"/>
      <c r="H300" s="463"/>
      <c r="I300" s="463"/>
      <c r="J300" s="463"/>
      <c r="K300" s="463"/>
      <c r="L300" s="463"/>
    </row>
    <row r="301" spans="1:12">
      <c r="A301" s="463"/>
      <c r="B301" s="463"/>
      <c r="C301" s="463"/>
      <c r="D301" s="463"/>
      <c r="E301" s="463"/>
      <c r="F301" s="463"/>
      <c r="G301" s="463"/>
      <c r="H301" s="463"/>
      <c r="I301" s="463"/>
      <c r="J301" s="463"/>
      <c r="K301" s="463"/>
      <c r="L301" s="463"/>
    </row>
    <row r="302" spans="1:12">
      <c r="A302" s="463"/>
      <c r="B302" s="463"/>
      <c r="C302" s="463"/>
      <c r="D302" s="463"/>
      <c r="E302" s="463"/>
      <c r="F302" s="463"/>
      <c r="G302" s="463"/>
      <c r="H302" s="463"/>
      <c r="I302" s="463"/>
      <c r="J302" s="463"/>
      <c r="K302" s="463"/>
      <c r="L302" s="463"/>
    </row>
    <row r="303" spans="1:12">
      <c r="A303" s="463"/>
      <c r="B303" s="463"/>
      <c r="C303" s="463"/>
      <c r="D303" s="463"/>
      <c r="E303" s="463"/>
      <c r="F303" s="463"/>
      <c r="G303" s="463"/>
      <c r="H303" s="463"/>
      <c r="I303" s="463"/>
      <c r="J303" s="463"/>
      <c r="K303" s="463"/>
      <c r="L303" s="463"/>
    </row>
    <row r="304" spans="1:12">
      <c r="A304" s="463"/>
      <c r="B304" s="463"/>
      <c r="C304" s="463"/>
      <c r="D304" s="463"/>
      <c r="E304" s="463"/>
      <c r="F304" s="463"/>
      <c r="G304" s="463"/>
      <c r="H304" s="463"/>
      <c r="I304" s="463"/>
      <c r="J304" s="463"/>
      <c r="K304" s="463"/>
      <c r="L304" s="463"/>
    </row>
    <row r="305" spans="1:12">
      <c r="A305" s="463"/>
      <c r="B305" s="463"/>
      <c r="C305" s="463"/>
      <c r="D305" s="463"/>
      <c r="E305" s="463"/>
      <c r="F305" s="463"/>
      <c r="G305" s="463"/>
      <c r="H305" s="463"/>
      <c r="I305" s="463"/>
      <c r="J305" s="463"/>
      <c r="K305" s="463"/>
      <c r="L305" s="463"/>
    </row>
    <row r="306" spans="1:12">
      <c r="A306" s="463"/>
      <c r="B306" s="463"/>
      <c r="C306" s="463"/>
      <c r="D306" s="463"/>
      <c r="E306" s="463"/>
      <c r="F306" s="463"/>
      <c r="G306" s="463"/>
      <c r="H306" s="463"/>
      <c r="I306" s="463"/>
      <c r="J306" s="463"/>
      <c r="K306" s="463"/>
      <c r="L306" s="463"/>
    </row>
    <row r="307" spans="1:12">
      <c r="A307" s="463"/>
      <c r="B307" s="463"/>
      <c r="C307" s="463"/>
      <c r="D307" s="463"/>
      <c r="E307" s="463"/>
      <c r="F307" s="463"/>
      <c r="G307" s="463"/>
      <c r="H307" s="463"/>
      <c r="I307" s="463"/>
      <c r="J307" s="463"/>
      <c r="K307" s="463"/>
      <c r="L307" s="463"/>
    </row>
    <row r="308" spans="1:12">
      <c r="A308" s="463"/>
      <c r="B308" s="463"/>
      <c r="C308" s="463"/>
      <c r="D308" s="463"/>
      <c r="E308" s="463"/>
      <c r="F308" s="463"/>
      <c r="G308" s="463"/>
      <c r="H308" s="463"/>
      <c r="I308" s="463"/>
      <c r="J308" s="463"/>
      <c r="K308" s="463"/>
      <c r="L308" s="463"/>
    </row>
    <row r="309" spans="1:12">
      <c r="A309" s="463"/>
      <c r="B309" s="463"/>
      <c r="C309" s="463"/>
      <c r="D309" s="463"/>
      <c r="E309" s="463"/>
      <c r="F309" s="463"/>
      <c r="G309" s="463"/>
      <c r="H309" s="463"/>
      <c r="I309" s="463"/>
      <c r="J309" s="463"/>
      <c r="K309" s="463"/>
      <c r="L309" s="463"/>
    </row>
    <row r="310" spans="1:12">
      <c r="A310" s="463"/>
      <c r="B310" s="463"/>
      <c r="C310" s="463"/>
      <c r="D310" s="463"/>
      <c r="E310" s="463"/>
      <c r="F310" s="463"/>
      <c r="G310" s="463"/>
      <c r="H310" s="463"/>
      <c r="I310" s="463"/>
      <c r="J310" s="463"/>
      <c r="K310" s="463"/>
      <c r="L310" s="463"/>
    </row>
    <row r="311" spans="1:12">
      <c r="A311" s="463"/>
      <c r="B311" s="463"/>
      <c r="C311" s="463"/>
      <c r="D311" s="463"/>
      <c r="E311" s="463"/>
      <c r="F311" s="463"/>
      <c r="G311" s="463"/>
      <c r="H311" s="463"/>
      <c r="I311" s="463"/>
      <c r="J311" s="463"/>
      <c r="K311" s="463"/>
      <c r="L311" s="463"/>
    </row>
    <row r="312" spans="1:12">
      <c r="A312" s="463"/>
      <c r="B312" s="463"/>
      <c r="C312" s="463"/>
      <c r="D312" s="463"/>
      <c r="E312" s="463"/>
      <c r="F312" s="463"/>
      <c r="G312" s="463"/>
      <c r="H312" s="463"/>
      <c r="I312" s="463"/>
      <c r="J312" s="463"/>
      <c r="K312" s="463"/>
      <c r="L312" s="463"/>
    </row>
    <row r="313" spans="1:12">
      <c r="A313" s="463"/>
      <c r="B313" s="463"/>
      <c r="C313" s="463"/>
      <c r="D313" s="463"/>
      <c r="E313" s="463"/>
      <c r="F313" s="463"/>
      <c r="G313" s="463"/>
      <c r="H313" s="463"/>
      <c r="I313" s="463"/>
      <c r="J313" s="463"/>
      <c r="K313" s="463"/>
      <c r="L313" s="463"/>
    </row>
    <row r="314" spans="1:12">
      <c r="A314" s="463"/>
      <c r="B314" s="463"/>
      <c r="C314" s="463"/>
      <c r="D314" s="463"/>
      <c r="E314" s="463"/>
      <c r="F314" s="463"/>
      <c r="G314" s="463"/>
      <c r="H314" s="463"/>
      <c r="I314" s="463"/>
      <c r="J314" s="463"/>
      <c r="K314" s="463"/>
      <c r="L314" s="463"/>
    </row>
    <row r="315" spans="1:12">
      <c r="A315" s="463"/>
      <c r="B315" s="463"/>
      <c r="C315" s="463"/>
      <c r="D315" s="463"/>
      <c r="E315" s="463"/>
      <c r="F315" s="463"/>
      <c r="G315" s="463"/>
      <c r="H315" s="463"/>
      <c r="I315" s="463"/>
      <c r="J315" s="463"/>
      <c r="K315" s="463"/>
      <c r="L315" s="463"/>
    </row>
    <row r="316" spans="1:12">
      <c r="A316" s="463"/>
      <c r="B316" s="463"/>
      <c r="C316" s="463"/>
      <c r="D316" s="463"/>
      <c r="E316" s="463"/>
      <c r="F316" s="463"/>
      <c r="G316" s="463"/>
      <c r="H316" s="463"/>
      <c r="I316" s="463"/>
      <c r="J316" s="463"/>
      <c r="K316" s="463"/>
      <c r="L316" s="463"/>
    </row>
    <row r="317" spans="1:12">
      <c r="A317" s="463"/>
      <c r="B317" s="463"/>
      <c r="C317" s="463"/>
      <c r="D317" s="463"/>
      <c r="E317" s="463"/>
      <c r="F317" s="463"/>
      <c r="G317" s="463"/>
      <c r="H317" s="463"/>
      <c r="I317" s="463"/>
      <c r="J317" s="463"/>
      <c r="K317" s="463"/>
      <c r="L317" s="463"/>
    </row>
    <row r="318" spans="1:12">
      <c r="A318" s="463"/>
      <c r="B318" s="463"/>
      <c r="C318" s="463"/>
      <c r="D318" s="463"/>
      <c r="E318" s="463"/>
      <c r="F318" s="463"/>
      <c r="G318" s="463"/>
      <c r="H318" s="463"/>
      <c r="I318" s="463"/>
      <c r="J318" s="463"/>
      <c r="K318" s="463"/>
      <c r="L318" s="463"/>
    </row>
    <row r="319" spans="1:12">
      <c r="A319" s="463"/>
      <c r="B319" s="463"/>
      <c r="C319" s="463"/>
      <c r="D319" s="463"/>
      <c r="E319" s="463"/>
      <c r="F319" s="463"/>
      <c r="G319" s="463"/>
      <c r="H319" s="463"/>
      <c r="I319" s="463"/>
      <c r="J319" s="463"/>
      <c r="K319" s="463"/>
      <c r="L319" s="463"/>
    </row>
    <row r="320" spans="1:12">
      <c r="A320" s="463"/>
      <c r="B320" s="463"/>
      <c r="C320" s="463"/>
      <c r="D320" s="463"/>
      <c r="E320" s="463"/>
      <c r="F320" s="463"/>
      <c r="G320" s="463"/>
      <c r="H320" s="463"/>
      <c r="I320" s="463"/>
      <c r="J320" s="463"/>
      <c r="K320" s="463"/>
      <c r="L320" s="463"/>
    </row>
    <row r="321" spans="1:12">
      <c r="A321" s="463"/>
      <c r="B321" s="463"/>
      <c r="C321" s="463"/>
      <c r="D321" s="463"/>
      <c r="E321" s="463"/>
      <c r="F321" s="463"/>
      <c r="G321" s="463"/>
      <c r="H321" s="463"/>
      <c r="I321" s="463"/>
      <c r="J321" s="463"/>
      <c r="K321" s="463"/>
      <c r="L321" s="463"/>
    </row>
    <row r="322" spans="1:12">
      <c r="A322" s="463"/>
      <c r="B322" s="463"/>
      <c r="C322" s="463"/>
      <c r="D322" s="463"/>
      <c r="E322" s="463"/>
      <c r="F322" s="463"/>
      <c r="G322" s="463"/>
      <c r="H322" s="463"/>
      <c r="I322" s="463"/>
      <c r="J322" s="463"/>
      <c r="K322" s="463"/>
      <c r="L322" s="463"/>
    </row>
    <row r="323" spans="1:12">
      <c r="A323" s="463"/>
      <c r="B323" s="463"/>
      <c r="C323" s="463"/>
      <c r="D323" s="463"/>
      <c r="E323" s="463"/>
      <c r="F323" s="463"/>
      <c r="G323" s="463"/>
      <c r="H323" s="463"/>
      <c r="I323" s="463"/>
      <c r="J323" s="463"/>
      <c r="K323" s="463"/>
      <c r="L323" s="463"/>
    </row>
    <row r="324" spans="1:12">
      <c r="A324" s="463"/>
      <c r="B324" s="463"/>
      <c r="C324" s="463"/>
      <c r="D324" s="463"/>
      <c r="E324" s="463"/>
      <c r="F324" s="463"/>
      <c r="G324" s="463"/>
      <c r="H324" s="463"/>
      <c r="I324" s="463"/>
      <c r="J324" s="463"/>
      <c r="K324" s="463"/>
      <c r="L324" s="463"/>
    </row>
    <row r="325" spans="1:12">
      <c r="A325" s="463"/>
      <c r="B325" s="463"/>
      <c r="C325" s="463"/>
      <c r="D325" s="463"/>
      <c r="E325" s="463"/>
      <c r="F325" s="463"/>
      <c r="G325" s="463"/>
      <c r="H325" s="463"/>
      <c r="I325" s="463"/>
      <c r="J325" s="463"/>
      <c r="K325" s="463"/>
      <c r="L325" s="463"/>
    </row>
    <row r="326" spans="1:12">
      <c r="A326" s="463"/>
      <c r="B326" s="463"/>
      <c r="C326" s="463"/>
      <c r="D326" s="463"/>
      <c r="E326" s="463"/>
      <c r="F326" s="463"/>
      <c r="G326" s="463"/>
      <c r="H326" s="463"/>
      <c r="I326" s="463"/>
      <c r="J326" s="463"/>
      <c r="K326" s="463"/>
      <c r="L326" s="463"/>
    </row>
    <row r="327" spans="1:12">
      <c r="A327" s="463"/>
      <c r="B327" s="463"/>
      <c r="C327" s="463"/>
      <c r="D327" s="463"/>
      <c r="E327" s="463"/>
      <c r="F327" s="463"/>
      <c r="G327" s="463"/>
      <c r="H327" s="463"/>
      <c r="I327" s="463"/>
      <c r="J327" s="463"/>
      <c r="K327" s="463"/>
      <c r="L327" s="463"/>
    </row>
    <row r="328" spans="1:12">
      <c r="A328" s="463"/>
      <c r="B328" s="463"/>
      <c r="C328" s="463"/>
      <c r="D328" s="463"/>
      <c r="E328" s="463"/>
      <c r="F328" s="463"/>
      <c r="G328" s="463"/>
      <c r="H328" s="463"/>
      <c r="I328" s="463"/>
      <c r="J328" s="463"/>
      <c r="K328" s="463"/>
      <c r="L328" s="463"/>
    </row>
    <row r="329" spans="1:12">
      <c r="A329" s="463"/>
      <c r="B329" s="463"/>
      <c r="C329" s="463"/>
      <c r="D329" s="463"/>
      <c r="E329" s="463"/>
      <c r="F329" s="463"/>
      <c r="G329" s="463"/>
      <c r="H329" s="463"/>
      <c r="I329" s="463"/>
      <c r="J329" s="463"/>
      <c r="K329" s="463"/>
      <c r="L329" s="463"/>
    </row>
    <row r="330" spans="1:12">
      <c r="A330" s="463"/>
      <c r="B330" s="463"/>
      <c r="C330" s="463"/>
      <c r="D330" s="463"/>
      <c r="E330" s="463"/>
      <c r="F330" s="463"/>
      <c r="G330" s="463"/>
      <c r="H330" s="463"/>
      <c r="I330" s="463"/>
      <c r="J330" s="463"/>
      <c r="K330" s="463"/>
      <c r="L330" s="463"/>
    </row>
    <row r="331" spans="1:12">
      <c r="A331" s="463"/>
      <c r="B331" s="463"/>
      <c r="C331" s="463"/>
      <c r="D331" s="463"/>
      <c r="E331" s="463"/>
      <c r="F331" s="463"/>
      <c r="G331" s="463"/>
      <c r="H331" s="463"/>
      <c r="I331" s="463"/>
      <c r="J331" s="463"/>
      <c r="K331" s="463"/>
      <c r="L331" s="463"/>
    </row>
    <row r="332" spans="1:12">
      <c r="A332" s="463"/>
      <c r="B332" s="463"/>
      <c r="C332" s="463"/>
      <c r="D332" s="463"/>
      <c r="E332" s="463"/>
      <c r="F332" s="463"/>
      <c r="G332" s="463"/>
      <c r="H332" s="463"/>
      <c r="I332" s="463"/>
      <c r="J332" s="463"/>
      <c r="K332" s="463"/>
      <c r="L332" s="463"/>
    </row>
    <row r="333" spans="1:12">
      <c r="A333" s="463"/>
      <c r="B333" s="463"/>
      <c r="C333" s="463"/>
      <c r="D333" s="463"/>
      <c r="E333" s="463"/>
      <c r="F333" s="463"/>
      <c r="G333" s="463"/>
      <c r="H333" s="463"/>
      <c r="I333" s="463"/>
      <c r="J333" s="463"/>
      <c r="K333" s="463"/>
      <c r="L333" s="463"/>
    </row>
    <row r="334" spans="1:12">
      <c r="A334" s="463"/>
      <c r="B334" s="463"/>
      <c r="C334" s="463"/>
      <c r="D334" s="463"/>
      <c r="E334" s="463"/>
      <c r="F334" s="463"/>
      <c r="G334" s="463"/>
      <c r="H334" s="463"/>
      <c r="I334" s="463"/>
      <c r="J334" s="463"/>
      <c r="K334" s="463"/>
      <c r="L334" s="463"/>
    </row>
    <row r="335" spans="1:12">
      <c r="A335" s="463"/>
      <c r="B335" s="463"/>
      <c r="C335" s="463"/>
      <c r="D335" s="463"/>
      <c r="E335" s="463"/>
      <c r="F335" s="463"/>
      <c r="G335" s="463"/>
      <c r="H335" s="463"/>
      <c r="I335" s="463"/>
      <c r="J335" s="463"/>
      <c r="K335" s="463"/>
      <c r="L335" s="463"/>
    </row>
    <row r="336" spans="1:12">
      <c r="A336" s="463"/>
      <c r="B336" s="463"/>
      <c r="C336" s="463"/>
      <c r="D336" s="463"/>
      <c r="E336" s="463"/>
      <c r="F336" s="463"/>
      <c r="G336" s="463"/>
      <c r="H336" s="463"/>
      <c r="I336" s="463"/>
      <c r="J336" s="463"/>
      <c r="K336" s="463"/>
      <c r="L336" s="463"/>
    </row>
    <row r="337" spans="1:12">
      <c r="A337" s="463"/>
      <c r="B337" s="463"/>
      <c r="C337" s="463"/>
      <c r="D337" s="463"/>
      <c r="E337" s="463"/>
      <c r="F337" s="463"/>
      <c r="G337" s="463"/>
      <c r="H337" s="463"/>
      <c r="I337" s="463"/>
      <c r="J337" s="463"/>
      <c r="K337" s="463"/>
      <c r="L337" s="463"/>
    </row>
    <row r="338" spans="1:12">
      <c r="A338" s="463"/>
      <c r="B338" s="463"/>
      <c r="C338" s="463"/>
      <c r="D338" s="463"/>
      <c r="E338" s="463"/>
      <c r="F338" s="463"/>
      <c r="G338" s="463"/>
      <c r="H338" s="463"/>
      <c r="I338" s="463"/>
      <c r="J338" s="463"/>
      <c r="K338" s="463"/>
      <c r="L338" s="463"/>
    </row>
    <row r="339" spans="1:12">
      <c r="A339" s="463"/>
      <c r="B339" s="463"/>
      <c r="C339" s="463"/>
      <c r="D339" s="463"/>
      <c r="E339" s="463"/>
      <c r="F339" s="463"/>
      <c r="G339" s="463"/>
      <c r="H339" s="463"/>
      <c r="I339" s="463"/>
      <c r="J339" s="463"/>
      <c r="K339" s="463"/>
      <c r="L339" s="463"/>
    </row>
    <row r="340" spans="1:12">
      <c r="A340" s="463"/>
      <c r="B340" s="463"/>
      <c r="C340" s="463"/>
      <c r="D340" s="463"/>
      <c r="E340" s="463"/>
      <c r="F340" s="463"/>
      <c r="G340" s="463"/>
      <c r="H340" s="463"/>
      <c r="I340" s="463"/>
      <c r="J340" s="463"/>
      <c r="K340" s="463"/>
      <c r="L340" s="463"/>
    </row>
    <row r="341" spans="1:12">
      <c r="A341" s="463"/>
      <c r="B341" s="463"/>
      <c r="C341" s="463"/>
      <c r="D341" s="463"/>
      <c r="E341" s="463"/>
      <c r="F341" s="463"/>
      <c r="G341" s="463"/>
      <c r="H341" s="463"/>
      <c r="I341" s="463"/>
      <c r="J341" s="463"/>
      <c r="K341" s="463"/>
      <c r="L341" s="463"/>
    </row>
    <row r="342" spans="1:12">
      <c r="A342" s="463"/>
      <c r="B342" s="463"/>
      <c r="C342" s="463"/>
      <c r="D342" s="463"/>
      <c r="E342" s="463"/>
      <c r="F342" s="463"/>
      <c r="G342" s="463"/>
      <c r="H342" s="463"/>
      <c r="I342" s="463"/>
      <c r="J342" s="463"/>
      <c r="K342" s="463"/>
      <c r="L342" s="463"/>
    </row>
    <row r="343" spans="1:12">
      <c r="A343" s="463"/>
      <c r="B343" s="463"/>
      <c r="C343" s="463"/>
      <c r="D343" s="463"/>
      <c r="E343" s="463"/>
      <c r="F343" s="463"/>
      <c r="G343" s="463"/>
      <c r="H343" s="463"/>
      <c r="I343" s="463"/>
      <c r="J343" s="463"/>
      <c r="K343" s="463"/>
      <c r="L343" s="463"/>
    </row>
    <row r="344" spans="1:12">
      <c r="A344" s="463"/>
      <c r="B344" s="463"/>
      <c r="C344" s="463"/>
      <c r="D344" s="463"/>
      <c r="E344" s="463"/>
      <c r="F344" s="463"/>
      <c r="G344" s="463"/>
      <c r="H344" s="463"/>
      <c r="I344" s="463"/>
      <c r="J344" s="463"/>
      <c r="K344" s="463"/>
      <c r="L344" s="463"/>
    </row>
    <row r="345" spans="1:12">
      <c r="A345" s="463"/>
      <c r="B345" s="463"/>
      <c r="C345" s="463"/>
      <c r="D345" s="463"/>
      <c r="E345" s="463"/>
      <c r="F345" s="463"/>
      <c r="G345" s="463"/>
      <c r="H345" s="463"/>
      <c r="I345" s="463"/>
      <c r="J345" s="463"/>
      <c r="K345" s="463"/>
      <c r="L345" s="463"/>
    </row>
    <row r="346" spans="1:12">
      <c r="A346" s="463"/>
      <c r="B346" s="463"/>
      <c r="C346" s="463"/>
      <c r="D346" s="463"/>
      <c r="E346" s="463"/>
      <c r="F346" s="463"/>
      <c r="G346" s="463"/>
      <c r="H346" s="463"/>
      <c r="I346" s="463"/>
      <c r="J346" s="463"/>
      <c r="K346" s="463"/>
      <c r="L346" s="463"/>
    </row>
    <row r="347" spans="1:12">
      <c r="A347" s="463"/>
      <c r="B347" s="463"/>
      <c r="C347" s="463"/>
      <c r="D347" s="463"/>
      <c r="E347" s="463"/>
      <c r="F347" s="463"/>
      <c r="G347" s="463"/>
      <c r="H347" s="463"/>
      <c r="I347" s="463"/>
      <c r="J347" s="463"/>
      <c r="K347" s="463"/>
      <c r="L347" s="463"/>
    </row>
    <row r="348" spans="1:12">
      <c r="A348" s="463"/>
      <c r="B348" s="463"/>
      <c r="C348" s="463"/>
      <c r="D348" s="463"/>
      <c r="E348" s="463"/>
      <c r="F348" s="463"/>
      <c r="G348" s="463"/>
      <c r="H348" s="463"/>
      <c r="I348" s="463"/>
      <c r="J348" s="463"/>
      <c r="K348" s="463"/>
      <c r="L348" s="463"/>
    </row>
    <row r="349" spans="1:12">
      <c r="A349" s="463"/>
      <c r="B349" s="463"/>
      <c r="C349" s="463"/>
      <c r="D349" s="463"/>
      <c r="E349" s="463"/>
      <c r="F349" s="463"/>
      <c r="G349" s="463"/>
      <c r="H349" s="463"/>
      <c r="I349" s="463"/>
      <c r="J349" s="463"/>
      <c r="K349" s="463"/>
      <c r="L349" s="463"/>
    </row>
    <row r="350" spans="1:12">
      <c r="A350" s="463"/>
      <c r="B350" s="463"/>
      <c r="C350" s="463"/>
      <c r="D350" s="463"/>
      <c r="E350" s="463"/>
      <c r="F350" s="463"/>
      <c r="G350" s="463"/>
      <c r="H350" s="463"/>
      <c r="I350" s="463"/>
      <c r="J350" s="463"/>
      <c r="K350" s="463"/>
      <c r="L350" s="463"/>
    </row>
    <row r="351" spans="1:12">
      <c r="A351" s="463"/>
      <c r="B351" s="463"/>
      <c r="C351" s="463"/>
      <c r="D351" s="463"/>
      <c r="E351" s="463"/>
      <c r="F351" s="463"/>
      <c r="G351" s="463"/>
      <c r="H351" s="463"/>
      <c r="I351" s="463"/>
      <c r="J351" s="463"/>
      <c r="K351" s="463"/>
      <c r="L351" s="463"/>
    </row>
    <row r="352" spans="1:12">
      <c r="A352" s="463"/>
      <c r="B352" s="463"/>
      <c r="C352" s="463"/>
      <c r="D352" s="463"/>
      <c r="E352" s="463"/>
      <c r="F352" s="463"/>
      <c r="G352" s="463"/>
      <c r="H352" s="463"/>
      <c r="I352" s="463"/>
      <c r="J352" s="463"/>
      <c r="K352" s="463"/>
      <c r="L352" s="463"/>
    </row>
    <row r="353" spans="1:12">
      <c r="A353" s="463"/>
      <c r="B353" s="463"/>
      <c r="C353" s="463"/>
      <c r="D353" s="463"/>
      <c r="E353" s="463"/>
      <c r="F353" s="463"/>
      <c r="G353" s="463"/>
      <c r="H353" s="463"/>
      <c r="I353" s="463"/>
      <c r="J353" s="463"/>
      <c r="K353" s="463"/>
      <c r="L353" s="463"/>
    </row>
    <row r="354" spans="1:12">
      <c r="A354" s="463"/>
      <c r="B354" s="463"/>
      <c r="C354" s="463"/>
      <c r="D354" s="463"/>
      <c r="E354" s="463"/>
      <c r="F354" s="463"/>
      <c r="G354" s="463"/>
      <c r="H354" s="463"/>
      <c r="I354" s="463"/>
      <c r="J354" s="463"/>
      <c r="K354" s="463"/>
      <c r="L354" s="463"/>
    </row>
  </sheetData>
  <sheetProtection sheet="1"/>
  <mergeCells count="55">
    <mergeCell ref="C148:D148"/>
    <mergeCell ref="J148:K148"/>
    <mergeCell ref="C136:D136"/>
    <mergeCell ref="C137:D137"/>
    <mergeCell ref="B144:K144"/>
    <mergeCell ref="C147:D147"/>
    <mergeCell ref="J147:K147"/>
    <mergeCell ref="C134:D134"/>
    <mergeCell ref="H134:I134"/>
    <mergeCell ref="B105:K105"/>
    <mergeCell ref="B106:K106"/>
    <mergeCell ref="B108:K108"/>
    <mergeCell ref="B110:K110"/>
    <mergeCell ref="C114:D114"/>
    <mergeCell ref="C117:D117"/>
    <mergeCell ref="C120:D120"/>
    <mergeCell ref="C123:D123"/>
    <mergeCell ref="C133:D133"/>
    <mergeCell ref="H133:I133"/>
    <mergeCell ref="C100:D100"/>
    <mergeCell ref="C103:D103"/>
    <mergeCell ref="B125:K125"/>
    <mergeCell ref="B126:K126"/>
    <mergeCell ref="B128:K128"/>
    <mergeCell ref="B130:K130"/>
    <mergeCell ref="C80:D80"/>
    <mergeCell ref="C83:D83"/>
    <mergeCell ref="B53:K53"/>
    <mergeCell ref="B55:K55"/>
    <mergeCell ref="B57:K57"/>
    <mergeCell ref="B58:K58"/>
    <mergeCell ref="C94:D94"/>
    <mergeCell ref="C97:D97"/>
    <mergeCell ref="I51:K51"/>
    <mergeCell ref="B52:K52"/>
    <mergeCell ref="B85:K85"/>
    <mergeCell ref="B86:K86"/>
    <mergeCell ref="B88:K88"/>
    <mergeCell ref="B90:K90"/>
    <mergeCell ref="C74:D74"/>
    <mergeCell ref="C77:D77"/>
    <mergeCell ref="B12:K12"/>
    <mergeCell ref="F23:G23"/>
    <mergeCell ref="C25:D25"/>
    <mergeCell ref="B30:K30"/>
    <mergeCell ref="B6:K6"/>
    <mergeCell ref="B7:K7"/>
    <mergeCell ref="B8:K8"/>
    <mergeCell ref="B10:K10"/>
    <mergeCell ref="B48:C48"/>
    <mergeCell ref="G50:H50"/>
    <mergeCell ref="B31:K31"/>
    <mergeCell ref="B33:K33"/>
    <mergeCell ref="B35:K35"/>
    <mergeCell ref="C41:D41"/>
  </mergeCells>
  <phoneticPr fontId="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464" t="s">
        <v>171</v>
      </c>
    </row>
    <row r="3" spans="1:1" ht="31.5">
      <c r="A3" s="465" t="s">
        <v>172</v>
      </c>
    </row>
    <row r="4" spans="1:1" ht="15.75">
      <c r="A4" s="466" t="s">
        <v>173</v>
      </c>
    </row>
    <row r="7" spans="1:1" ht="31.5">
      <c r="A7" s="465" t="s">
        <v>174</v>
      </c>
    </row>
    <row r="8" spans="1:1" ht="15.75">
      <c r="A8" s="466" t="s">
        <v>175</v>
      </c>
    </row>
    <row r="11" spans="1:1" ht="15.75">
      <c r="A11" s="467" t="s">
        <v>176</v>
      </c>
    </row>
    <row r="12" spans="1:1" ht="15.75">
      <c r="A12" s="466" t="s">
        <v>177</v>
      </c>
    </row>
    <row r="15" spans="1:1" ht="15.75">
      <c r="A15" s="467" t="s">
        <v>178</v>
      </c>
    </row>
    <row r="16" spans="1:1" ht="15.75">
      <c r="A16" s="466" t="s">
        <v>179</v>
      </c>
    </row>
    <row r="19" spans="1:1" ht="15.75">
      <c r="A19" s="467" t="s">
        <v>180</v>
      </c>
    </row>
    <row r="20" spans="1:1" ht="15.75">
      <c r="A20" s="466" t="s">
        <v>181</v>
      </c>
    </row>
    <row r="23" spans="1:1" ht="15.75">
      <c r="A23" s="467" t="s">
        <v>182</v>
      </c>
    </row>
    <row r="24" spans="1:1" ht="15.75">
      <c r="A24" s="466" t="s">
        <v>183</v>
      </c>
    </row>
    <row r="27" spans="1:1" ht="15.75">
      <c r="A27" s="467" t="s">
        <v>184</v>
      </c>
    </row>
    <row r="28" spans="1:1" ht="15.75">
      <c r="A28" s="466" t="s">
        <v>185</v>
      </c>
    </row>
    <row r="31" spans="1:1" ht="15.75">
      <c r="A31" s="467" t="s">
        <v>186</v>
      </c>
    </row>
    <row r="32" spans="1:1" ht="15.75">
      <c r="A32" s="466" t="s">
        <v>187</v>
      </c>
    </row>
    <row r="35" spans="1:1" ht="15.75">
      <c r="A35" s="467" t="s">
        <v>188</v>
      </c>
    </row>
    <row r="36" spans="1:1" ht="15.75">
      <c r="A36" s="466" t="s">
        <v>189</v>
      </c>
    </row>
    <row r="39" spans="1:1" ht="15.75">
      <c r="A39" s="467" t="s">
        <v>190</v>
      </c>
    </row>
    <row r="40" spans="1:1" ht="15.75">
      <c r="A40" s="466" t="s">
        <v>191</v>
      </c>
    </row>
  </sheetData>
  <sheetProtection sheet="1"/>
  <phoneticPr fontId="0" type="noConversion"/>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148"/>
  <sheetViews>
    <sheetView workbookViewId="0">
      <selection activeCell="H26" sqref="H26"/>
    </sheetView>
  </sheetViews>
  <sheetFormatPr defaultRowHeight="15.75"/>
  <cols>
    <col min="1" max="1" width="68.6640625" style="95" customWidth="1"/>
    <col min="2" max="2" width="14.5546875" style="95" customWidth="1"/>
    <col min="3" max="3" width="14.21875" style="95" customWidth="1"/>
    <col min="4" max="16384" width="8.88671875" style="95"/>
  </cols>
  <sheetData>
    <row r="1" spans="1:1">
      <c r="A1" s="352" t="s">
        <v>78</v>
      </c>
    </row>
    <row r="2" spans="1:1">
      <c r="A2" s="95" t="s">
        <v>79</v>
      </c>
    </row>
    <row r="4" spans="1:1">
      <c r="A4" s="352" t="s">
        <v>75</v>
      </c>
    </row>
    <row r="5" spans="1:1">
      <c r="A5" s="632" t="s">
        <v>76</v>
      </c>
    </row>
    <row r="7" spans="1:1">
      <c r="A7" s="352" t="s">
        <v>74</v>
      </c>
    </row>
    <row r="8" spans="1:1">
      <c r="A8" s="614" t="s">
        <v>73</v>
      </c>
    </row>
    <row r="10" spans="1:1">
      <c r="A10" s="352" t="s">
        <v>275</v>
      </c>
    </row>
    <row r="11" spans="1:1">
      <c r="A11" s="614" t="s">
        <v>277</v>
      </c>
    </row>
    <row r="12" spans="1:1">
      <c r="A12" s="614" t="s">
        <v>281</v>
      </c>
    </row>
    <row r="13" spans="1:1">
      <c r="A13" s="95" t="s">
        <v>284</v>
      </c>
    </row>
    <row r="14" spans="1:1">
      <c r="A14" s="95" t="s">
        <v>285</v>
      </c>
    </row>
    <row r="15" spans="1:1">
      <c r="A15" s="95" t="s">
        <v>288</v>
      </c>
    </row>
    <row r="16" spans="1:1">
      <c r="A16" s="95" t="s">
        <v>290</v>
      </c>
    </row>
    <row r="17" spans="1:1">
      <c r="A17" s="95" t="s">
        <v>362</v>
      </c>
    </row>
    <row r="18" spans="1:1">
      <c r="A18" s="95" t="s">
        <v>363</v>
      </c>
    </row>
    <row r="19" spans="1:1">
      <c r="A19" s="95" t="s">
        <v>364</v>
      </c>
    </row>
    <row r="20" spans="1:1">
      <c r="A20" s="95" t="s">
        <v>365</v>
      </c>
    </row>
    <row r="21" spans="1:1" ht="47.25">
      <c r="A21" s="315" t="s">
        <v>366</v>
      </c>
    </row>
    <row r="22" spans="1:1" ht="31.5">
      <c r="A22" s="315" t="s">
        <v>367</v>
      </c>
    </row>
    <row r="23" spans="1:1">
      <c r="A23" s="95" t="s">
        <v>59</v>
      </c>
    </row>
    <row r="24" spans="1:1">
      <c r="A24" s="95" t="s">
        <v>60</v>
      </c>
    </row>
    <row r="25" spans="1:1">
      <c r="A25" s="95" t="s">
        <v>61</v>
      </c>
    </row>
    <row r="26" spans="1:1">
      <c r="A26" s="95" t="s">
        <v>62</v>
      </c>
    </row>
    <row r="27" spans="1:1">
      <c r="A27" s="95" t="s">
        <v>63</v>
      </c>
    </row>
    <row r="28" spans="1:1">
      <c r="A28" s="95" t="s">
        <v>64</v>
      </c>
    </row>
    <row r="29" spans="1:1">
      <c r="A29" s="95" t="s">
        <v>65</v>
      </c>
    </row>
    <row r="30" spans="1:1">
      <c r="A30" s="95" t="s">
        <v>66</v>
      </c>
    </row>
    <row r="31" spans="1:1">
      <c r="A31" s="95" t="s">
        <v>67</v>
      </c>
    </row>
    <row r="32" spans="1:1">
      <c r="A32" s="95" t="s">
        <v>68</v>
      </c>
    </row>
    <row r="36" spans="1:1">
      <c r="A36" s="352" t="s">
        <v>238</v>
      </c>
    </row>
    <row r="37" spans="1:1">
      <c r="A37" s="518" t="s">
        <v>239</v>
      </c>
    </row>
    <row r="38" spans="1:1">
      <c r="A38" s="518" t="s">
        <v>240</v>
      </c>
    </row>
    <row r="40" spans="1:1">
      <c r="A40" s="352" t="s">
        <v>211</v>
      </c>
    </row>
    <row r="41" spans="1:1">
      <c r="A41" s="518" t="s">
        <v>212</v>
      </c>
    </row>
    <row r="42" spans="1:1">
      <c r="A42" s="518" t="s">
        <v>213</v>
      </c>
    </row>
    <row r="43" spans="1:1" ht="31.5">
      <c r="A43" s="519" t="s">
        <v>236</v>
      </c>
    </row>
    <row r="44" spans="1:1">
      <c r="A44" s="518" t="s">
        <v>214</v>
      </c>
    </row>
    <row r="45" spans="1:1">
      <c r="A45" s="518" t="s">
        <v>215</v>
      </c>
    </row>
    <row r="46" spans="1:1">
      <c r="A46" s="518" t="s">
        <v>216</v>
      </c>
    </row>
    <row r="47" spans="1:1">
      <c r="A47" s="518" t="s">
        <v>217</v>
      </c>
    </row>
    <row r="48" spans="1:1">
      <c r="A48" s="518" t="s">
        <v>218</v>
      </c>
    </row>
    <row r="49" spans="1:1">
      <c r="A49" s="518" t="s">
        <v>219</v>
      </c>
    </row>
    <row r="50" spans="1:1">
      <c r="A50" s="518" t="s">
        <v>220</v>
      </c>
    </row>
    <row r="51" spans="1:1">
      <c r="A51" s="518" t="s">
        <v>221</v>
      </c>
    </row>
    <row r="52" spans="1:1">
      <c r="A52" s="518" t="s">
        <v>222</v>
      </c>
    </row>
    <row r="53" spans="1:1">
      <c r="A53" s="518" t="s">
        <v>223</v>
      </c>
    </row>
    <row r="54" spans="1:1">
      <c r="A54" s="518" t="s">
        <v>224</v>
      </c>
    </row>
    <row r="55" spans="1:1">
      <c r="A55" s="518" t="s">
        <v>225</v>
      </c>
    </row>
    <row r="56" spans="1:1">
      <c r="A56" s="518" t="s">
        <v>226</v>
      </c>
    </row>
    <row r="57" spans="1:1">
      <c r="A57" s="518" t="s">
        <v>227</v>
      </c>
    </row>
    <row r="58" spans="1:1">
      <c r="A58" s="518" t="s">
        <v>228</v>
      </c>
    </row>
    <row r="59" spans="1:1">
      <c r="A59" s="518" t="s">
        <v>229</v>
      </c>
    </row>
    <row r="60" spans="1:1">
      <c r="A60" s="518" t="s">
        <v>230</v>
      </c>
    </row>
    <row r="61" spans="1:1">
      <c r="A61" s="518" t="s">
        <v>231</v>
      </c>
    </row>
    <row r="62" spans="1:1">
      <c r="A62" s="518" t="s">
        <v>232</v>
      </c>
    </row>
    <row r="63" spans="1:1">
      <c r="A63" s="518" t="s">
        <v>237</v>
      </c>
    </row>
    <row r="65" spans="1:1">
      <c r="A65" s="352" t="s">
        <v>98</v>
      </c>
    </row>
    <row r="66" spans="1:1">
      <c r="A66" s="95" t="s">
        <v>101</v>
      </c>
    </row>
    <row r="67" spans="1:1">
      <c r="A67" s="95" t="s">
        <v>99</v>
      </c>
    </row>
    <row r="68" spans="1:1">
      <c r="A68" s="95" t="s">
        <v>100</v>
      </c>
    </row>
    <row r="70" spans="1:1">
      <c r="A70" s="363" t="s">
        <v>90</v>
      </c>
    </row>
    <row r="71" spans="1:1">
      <c r="A71" s="95" t="s">
        <v>97</v>
      </c>
    </row>
    <row r="73" spans="1:1">
      <c r="A73" s="352" t="s">
        <v>698</v>
      </c>
    </row>
    <row r="74" spans="1:1">
      <c r="A74" s="353" t="s">
        <v>699</v>
      </c>
    </row>
    <row r="75" spans="1:1">
      <c r="A75" s="353" t="s">
        <v>700</v>
      </c>
    </row>
    <row r="76" spans="1:1">
      <c r="A76" s="353" t="s">
        <v>701</v>
      </c>
    </row>
    <row r="77" spans="1:1">
      <c r="A77" s="95" t="s">
        <v>702</v>
      </c>
    </row>
    <row r="79" spans="1:1">
      <c r="A79" s="314" t="s">
        <v>654</v>
      </c>
    </row>
    <row r="80" spans="1:1">
      <c r="A80" s="95" t="s">
        <v>645</v>
      </c>
    </row>
    <row r="81" spans="1:1">
      <c r="A81" s="95" t="s">
        <v>646</v>
      </c>
    </row>
    <row r="82" spans="1:1">
      <c r="A82" s="95" t="s">
        <v>647</v>
      </c>
    </row>
    <row r="83" spans="1:1">
      <c r="A83" s="95" t="s">
        <v>648</v>
      </c>
    </row>
    <row r="84" spans="1:1">
      <c r="A84" s="95" t="s">
        <v>649</v>
      </c>
    </row>
    <row r="85" spans="1:1">
      <c r="A85" s="95" t="s">
        <v>650</v>
      </c>
    </row>
    <row r="86" spans="1:1">
      <c r="A86" s="95" t="s">
        <v>667</v>
      </c>
    </row>
    <row r="87" spans="1:1">
      <c r="A87" s="95" t="s">
        <v>668</v>
      </c>
    </row>
    <row r="88" spans="1:1">
      <c r="A88" s="95" t="s">
        <v>669</v>
      </c>
    </row>
    <row r="89" spans="1:1">
      <c r="A89" s="95" t="s">
        <v>670</v>
      </c>
    </row>
    <row r="90" spans="1:1">
      <c r="A90" s="95" t="s">
        <v>671</v>
      </c>
    </row>
    <row r="91" spans="1:1">
      <c r="A91" s="95" t="s">
        <v>672</v>
      </c>
    </row>
    <row r="93" spans="1:1">
      <c r="A93" s="314" t="s">
        <v>640</v>
      </c>
    </row>
    <row r="94" spans="1:1">
      <c r="A94" s="95" t="s">
        <v>651</v>
      </c>
    </row>
    <row r="95" spans="1:1">
      <c r="A95" s="95" t="s">
        <v>641</v>
      </c>
    </row>
    <row r="96" spans="1:1">
      <c r="A96" s="95" t="s">
        <v>642</v>
      </c>
    </row>
    <row r="98" spans="1:1">
      <c r="A98" s="314" t="s">
        <v>636</v>
      </c>
    </row>
    <row r="99" spans="1:1">
      <c r="A99" s="95" t="s">
        <v>637</v>
      </c>
    </row>
    <row r="100" spans="1:1">
      <c r="A100" s="95" t="s">
        <v>638</v>
      </c>
    </row>
    <row r="102" spans="1:1">
      <c r="A102" s="314" t="s">
        <v>617</v>
      </c>
    </row>
    <row r="103" spans="1:1">
      <c r="A103" s="95" t="s">
        <v>618</v>
      </c>
    </row>
    <row r="104" spans="1:1" ht="36" customHeight="1">
      <c r="A104" s="315" t="s">
        <v>619</v>
      </c>
    </row>
    <row r="105" spans="1:1">
      <c r="A105" s="95" t="s">
        <v>620</v>
      </c>
    </row>
    <row r="106" spans="1:1" ht="18.75" customHeight="1">
      <c r="A106" s="95" t="s">
        <v>621</v>
      </c>
    </row>
    <row r="107" spans="1:1">
      <c r="A107" s="95" t="s">
        <v>622</v>
      </c>
    </row>
    <row r="108" spans="1:1" ht="24.75" customHeight="1">
      <c r="A108" s="95" t="s">
        <v>623</v>
      </c>
    </row>
    <row r="109" spans="1:1" ht="39" customHeight="1">
      <c r="A109" s="315" t="s">
        <v>624</v>
      </c>
    </row>
    <row r="110" spans="1:1" ht="38.25" customHeight="1">
      <c r="A110" s="315" t="s">
        <v>625</v>
      </c>
    </row>
    <row r="111" spans="1:1" ht="37.5" customHeight="1">
      <c r="A111" s="315" t="s">
        <v>626</v>
      </c>
    </row>
    <row r="112" spans="1:1" ht="21" customHeight="1">
      <c r="A112" s="315" t="s">
        <v>627</v>
      </c>
    </row>
    <row r="113" spans="1:1" ht="35.25" customHeight="1">
      <c r="A113" s="315" t="s">
        <v>628</v>
      </c>
    </row>
    <row r="114" spans="1:1">
      <c r="A114" s="95" t="s">
        <v>629</v>
      </c>
    </row>
    <row r="115" spans="1:1">
      <c r="A115" s="95" t="s">
        <v>630</v>
      </c>
    </row>
    <row r="116" spans="1:1">
      <c r="A116" s="95" t="s">
        <v>631</v>
      </c>
    </row>
    <row r="117" spans="1:1">
      <c r="A117" s="95" t="s">
        <v>632</v>
      </c>
    </row>
    <row r="118" spans="1:1">
      <c r="A118" s="95" t="s">
        <v>633</v>
      </c>
    </row>
    <row r="121" spans="1:1">
      <c r="A121" s="314" t="s">
        <v>545</v>
      </c>
    </row>
    <row r="122" spans="1:1">
      <c r="A122" s="95" t="s">
        <v>553</v>
      </c>
    </row>
    <row r="123" spans="1:1">
      <c r="A123" s="95" t="s">
        <v>554</v>
      </c>
    </row>
    <row r="124" spans="1:1">
      <c r="A124" s="95" t="s">
        <v>555</v>
      </c>
    </row>
    <row r="125" spans="1:1">
      <c r="A125" s="95" t="s">
        <v>568</v>
      </c>
    </row>
    <row r="126" spans="1:1">
      <c r="A126" s="95" t="s">
        <v>556</v>
      </c>
    </row>
    <row r="127" spans="1:1">
      <c r="A127" s="95" t="s">
        <v>557</v>
      </c>
    </row>
    <row r="128" spans="1:1">
      <c r="A128" s="95" t="s">
        <v>558</v>
      </c>
    </row>
    <row r="129" spans="1:1">
      <c r="A129" s="95" t="s">
        <v>559</v>
      </c>
    </row>
    <row r="130" spans="1:1">
      <c r="A130" s="95" t="s">
        <v>569</v>
      </c>
    </row>
    <row r="131" spans="1:1">
      <c r="A131" s="95" t="s">
        <v>560</v>
      </c>
    </row>
    <row r="132" spans="1:1">
      <c r="A132" s="95" t="s">
        <v>561</v>
      </c>
    </row>
    <row r="133" spans="1:1">
      <c r="A133" s="95" t="s">
        <v>562</v>
      </c>
    </row>
    <row r="134" spans="1:1">
      <c r="A134" s="95" t="s">
        <v>570</v>
      </c>
    </row>
    <row r="135" spans="1:1">
      <c r="A135" s="95" t="s">
        <v>571</v>
      </c>
    </row>
    <row r="136" spans="1:1">
      <c r="A136" s="95" t="s">
        <v>577</v>
      </c>
    </row>
    <row r="137" spans="1:1">
      <c r="A137" s="95" t="s">
        <v>652</v>
      </c>
    </row>
    <row r="138" spans="1:1">
      <c r="A138" s="95" t="s">
        <v>368</v>
      </c>
    </row>
    <row r="139" spans="1:1">
      <c r="A139" s="95" t="s">
        <v>369</v>
      </c>
    </row>
    <row r="140" spans="1:1">
      <c r="A140" s="95" t="s">
        <v>370</v>
      </c>
    </row>
    <row r="141" spans="1:1">
      <c r="A141" s="95" t="s">
        <v>653</v>
      </c>
    </row>
    <row r="142" spans="1:1">
      <c r="A142" s="95" t="s">
        <v>583</v>
      </c>
    </row>
    <row r="143" spans="1:1">
      <c r="A143" s="95" t="s">
        <v>584</v>
      </c>
    </row>
    <row r="144" spans="1:1">
      <c r="A144" s="95" t="s">
        <v>371</v>
      </c>
    </row>
    <row r="145" spans="1:1">
      <c r="A145" s="95" t="s">
        <v>372</v>
      </c>
    </row>
    <row r="146" spans="1:1">
      <c r="A146" s="95" t="s">
        <v>592</v>
      </c>
    </row>
    <row r="147" spans="1:1">
      <c r="A147" s="95" t="s">
        <v>593</v>
      </c>
    </row>
    <row r="148" spans="1:1">
      <c r="A148" s="95" t="s">
        <v>597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instructions</vt:lpstr>
      <vt:lpstr>inputPrYr</vt:lpstr>
      <vt:lpstr>inputOth</vt:lpstr>
      <vt:lpstr>inputBudSum</vt:lpstr>
      <vt:lpstr>cert</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lpstr>levypage8!Print_Area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Alice</dc:creator>
  <cp:lastModifiedBy>Alice</cp:lastModifiedBy>
  <cp:lastPrinted>2012-05-29T21:21:55Z</cp:lastPrinted>
  <dcterms:created xsi:type="dcterms:W3CDTF">1999-08-06T13:59:57Z</dcterms:created>
  <dcterms:modified xsi:type="dcterms:W3CDTF">2013-07-17T06:45:18Z</dcterms:modified>
</cp:coreProperties>
</file>