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9630" windowHeight="2715" tabRatio="869" activeTab="16"/>
  </bookViews>
  <sheets>
    <sheet name="instructions" sheetId="1" r:id="rId1"/>
    <sheet name="inputPrYr" sheetId="2" r:id="rId2"/>
    <sheet name="inputOth" sheetId="14" r:id="rId3"/>
    <sheet name="inputBudSum" sheetId="25" r:id="rId4"/>
    <sheet name="cert" sheetId="3" r:id="rId5"/>
    <sheet name="computation" sheetId="10" r:id="rId6"/>
    <sheet name="mvalloc" sheetId="7" r:id="rId7"/>
    <sheet name="transfers" sheetId="13" r:id="rId8"/>
    <sheet name="TransferFunds" sheetId="18" r:id="rId9"/>
    <sheet name="debt" sheetId="9" r:id="rId10"/>
    <sheet name="gen" sheetId="4" r:id="rId11"/>
    <sheet name="DebtService" sheetId="15" r:id="rId12"/>
    <sheet name="levypage8" sheetId="5" r:id="rId13"/>
    <sheet name="nolevypage9" sheetId="6" r:id="rId14"/>
    <sheet name="NonBud" sheetId="17" r:id="rId15"/>
    <sheet name="NonBudFunds" sheetId="19" r:id="rId16"/>
    <sheet name="summ" sheetId="8" r:id="rId17"/>
    <sheet name="Nhood" sheetId="16" r:id="rId18"/>
    <sheet name="Resolution" sheetId="12" r:id="rId19"/>
    <sheet name="Tab A" sheetId="20" r:id="rId20"/>
    <sheet name="Tab B" sheetId="21" r:id="rId21"/>
    <sheet name="Tab C" sheetId="22" r:id="rId22"/>
    <sheet name="Tab D" sheetId="23" r:id="rId23"/>
    <sheet name="Tab E" sheetId="24" r:id="rId24"/>
    <sheet name="Mill Rate Computation" sheetId="26" r:id="rId25"/>
    <sheet name="Helpful Links" sheetId="27" r:id="rId26"/>
    <sheet name="legend" sheetId="11" r:id="rId27"/>
  </sheets>
  <definedNames>
    <definedName name="_xlnm.Print_Area" localSheetId="11">DebtService!$B$1:$E$62</definedName>
    <definedName name="_xlnm.Print_Area" localSheetId="10">gen!$B$1:$F$74</definedName>
    <definedName name="_xlnm.Print_Area" localSheetId="1">inputPrYr!$A$1:$E$46</definedName>
    <definedName name="_xlnm.Print_Area" localSheetId="0">instructions!$A$1:$A$93</definedName>
    <definedName name="_xlnm.Print_Area" localSheetId="12">levypage8!$A$1:$E$91</definedName>
    <definedName name="_xlnm.Print_Area" localSheetId="16">summ!$A$1:$I$41</definedName>
  </definedNames>
  <calcPr calcId="114210"/>
</workbook>
</file>

<file path=xl/calcChain.xml><?xml version="1.0" encoding="utf-8"?>
<calcChain xmlns="http://schemas.openxmlformats.org/spreadsheetml/2006/main">
  <c r="D47" i="5"/>
  <c r="D9"/>
  <c r="D8" i="15"/>
  <c r="D9" i="4"/>
  <c r="D33"/>
  <c r="E16" i="8"/>
  <c r="E17"/>
  <c r="E18"/>
  <c r="E19"/>
  <c r="E23"/>
  <c r="G87" i="5"/>
  <c r="H87"/>
  <c r="E3" i="6"/>
  <c r="B66"/>
  <c r="E3" i="5"/>
  <c r="D6"/>
  <c r="D44"/>
  <c r="E3" i="4"/>
  <c r="E6"/>
  <c r="G2" i="7"/>
  <c r="D9"/>
  <c r="A40" i="8"/>
  <c r="A41"/>
  <c r="G20" i="25"/>
  <c r="G22"/>
  <c r="G23" i="2"/>
  <c r="G22"/>
  <c r="G20"/>
  <c r="G19"/>
  <c r="G18"/>
  <c r="J148" i="26"/>
  <c r="H134"/>
  <c r="C137"/>
  <c r="J137"/>
  <c r="H120"/>
  <c r="C123"/>
  <c r="H114"/>
  <c r="F117"/>
  <c r="H117"/>
  <c r="F123"/>
  <c r="J123"/>
  <c r="H100"/>
  <c r="C103"/>
  <c r="J103"/>
  <c r="H94"/>
  <c r="F97"/>
  <c r="H97"/>
  <c r="F103"/>
  <c r="H80"/>
  <c r="C83"/>
  <c r="H74"/>
  <c r="F77"/>
  <c r="H77"/>
  <c r="F83"/>
  <c r="J83"/>
  <c r="H48"/>
  <c r="F50"/>
  <c r="J50"/>
  <c r="H41"/>
  <c r="B28"/>
  <c r="H28"/>
  <c r="H25"/>
  <c r="C25"/>
  <c r="E12" i="16"/>
  <c r="E11"/>
  <c r="D39" i="5"/>
  <c r="D77"/>
  <c r="D59" i="15"/>
  <c r="D67" i="4"/>
  <c r="A8" i="24"/>
  <c r="A46" i="23"/>
  <c r="A41"/>
  <c r="A6"/>
  <c r="A38" i="22"/>
  <c r="A33"/>
  <c r="A19"/>
  <c r="A6"/>
  <c r="A34" i="21"/>
  <c r="A33"/>
  <c r="A6"/>
  <c r="A64" i="20"/>
  <c r="A61"/>
  <c r="A33"/>
  <c r="A28"/>
  <c r="A25"/>
  <c r="A16"/>
  <c r="A6"/>
  <c r="A6" i="8"/>
  <c r="A8"/>
  <c r="D16" i="16"/>
  <c r="C14" i="7"/>
  <c r="C13"/>
  <c r="C12"/>
  <c r="C11"/>
  <c r="E24" i="2"/>
  <c r="D26" i="8"/>
  <c r="J6" i="10"/>
  <c r="D36" i="2"/>
  <c r="A45"/>
  <c r="A44"/>
  <c r="E1" i="15"/>
  <c r="G48"/>
  <c r="E17" i="7"/>
  <c r="E19"/>
  <c r="E21"/>
  <c r="D21" i="5"/>
  <c r="C21"/>
  <c r="C22"/>
  <c r="C33"/>
  <c r="G39"/>
  <c r="D33"/>
  <c r="D9" i="16"/>
  <c r="E9"/>
  <c r="E30" i="5"/>
  <c r="E33"/>
  <c r="D59"/>
  <c r="C59"/>
  <c r="C60"/>
  <c r="C71"/>
  <c r="G79"/>
  <c r="D71"/>
  <c r="D70"/>
  <c r="D10" i="16"/>
  <c r="E10"/>
  <c r="E68" i="5"/>
  <c r="E71"/>
  <c r="D29" i="15"/>
  <c r="C29"/>
  <c r="C30"/>
  <c r="C53"/>
  <c r="B17" i="8"/>
  <c r="D53" i="15"/>
  <c r="D8" i="16"/>
  <c r="E8"/>
  <c r="E50" i="15"/>
  <c r="E53"/>
  <c r="D35" i="5"/>
  <c r="D87"/>
  <c r="C35"/>
  <c r="C87"/>
  <c r="B37"/>
  <c r="D73"/>
  <c r="C73"/>
  <c r="D33" i="6"/>
  <c r="C33"/>
  <c r="C66"/>
  <c r="D66"/>
  <c r="C64"/>
  <c r="C52"/>
  <c r="C53"/>
  <c r="C65"/>
  <c r="D64"/>
  <c r="D67"/>
  <c r="E64"/>
  <c r="D52"/>
  <c r="E52"/>
  <c r="C31"/>
  <c r="C34"/>
  <c r="C19"/>
  <c r="C20"/>
  <c r="D31"/>
  <c r="D19"/>
  <c r="E19"/>
  <c r="E31"/>
  <c r="F20" i="8"/>
  <c r="D63" i="4"/>
  <c r="D61"/>
  <c r="D55" i="15"/>
  <c r="C55"/>
  <c r="E14" i="4"/>
  <c r="C33"/>
  <c r="C34"/>
  <c r="C61"/>
  <c r="C60"/>
  <c r="D7" i="16"/>
  <c r="E7"/>
  <c r="C63" i="4"/>
  <c r="C81"/>
  <c r="J28" i="17"/>
  <c r="H28"/>
  <c r="F28"/>
  <c r="A22" i="8"/>
  <c r="A29" i="3"/>
  <c r="D29"/>
  <c r="I5" i="17"/>
  <c r="G5"/>
  <c r="E5"/>
  <c r="C5"/>
  <c r="A5"/>
  <c r="D28" i="2"/>
  <c r="A28"/>
  <c r="A24"/>
  <c r="D17"/>
  <c r="E17"/>
  <c r="K1" i="17"/>
  <c r="F2"/>
  <c r="A1"/>
  <c r="K7"/>
  <c r="B17"/>
  <c r="D17"/>
  <c r="K17"/>
  <c r="K30"/>
  <c r="F17"/>
  <c r="F18"/>
  <c r="F29"/>
  <c r="F30"/>
  <c r="H17"/>
  <c r="J17"/>
  <c r="J18"/>
  <c r="J29"/>
  <c r="B28"/>
  <c r="D28"/>
  <c r="H18"/>
  <c r="H29"/>
  <c r="H30"/>
  <c r="D18"/>
  <c r="D29"/>
  <c r="D30"/>
  <c r="G11" i="10"/>
  <c r="E14"/>
  <c r="E15"/>
  <c r="G16"/>
  <c r="G18"/>
  <c r="G20"/>
  <c r="E22"/>
  <c r="A11" i="14"/>
  <c r="A9"/>
  <c r="G41" i="9"/>
  <c r="F34" i="8"/>
  <c r="F41" i="9"/>
  <c r="D32" i="3"/>
  <c r="D33"/>
  <c r="J1" i="10"/>
  <c r="B18"/>
  <c r="D30" i="6"/>
  <c r="E63"/>
  <c r="D63"/>
  <c r="C63"/>
  <c r="E30"/>
  <c r="D32" i="5"/>
  <c r="C32"/>
  <c r="C58"/>
  <c r="C70"/>
  <c r="D60" i="4"/>
  <c r="D20" i="16"/>
  <c r="D22"/>
  <c r="D18"/>
  <c r="B10"/>
  <c r="B9"/>
  <c r="B8"/>
  <c r="B7"/>
  <c r="F1"/>
  <c r="A16"/>
  <c r="A1"/>
  <c r="D11"/>
  <c r="D12"/>
  <c r="C13"/>
  <c r="D24" i="3"/>
  <c r="A46" i="14"/>
  <c r="A45"/>
  <c r="A44"/>
  <c r="A43"/>
  <c r="A42"/>
  <c r="A41"/>
  <c r="E1"/>
  <c r="A34"/>
  <c r="A38"/>
  <c r="A12"/>
  <c r="A19"/>
  <c r="A18"/>
  <c r="D22"/>
  <c r="E47" i="2"/>
  <c r="D47"/>
  <c r="I3" i="8"/>
  <c r="J34"/>
  <c r="A37" i="2"/>
  <c r="A15"/>
  <c r="F20" i="9"/>
  <c r="F33" i="8"/>
  <c r="F16" i="9"/>
  <c r="F32" i="8"/>
  <c r="F12" i="9"/>
  <c r="F31" i="8"/>
  <c r="L20" i="9"/>
  <c r="K20"/>
  <c r="J20"/>
  <c r="I20"/>
  <c r="L16"/>
  <c r="K16"/>
  <c r="J16"/>
  <c r="I16"/>
  <c r="L12"/>
  <c r="L21"/>
  <c r="K12"/>
  <c r="K21"/>
  <c r="J12"/>
  <c r="J21"/>
  <c r="I12"/>
  <c r="I21"/>
  <c r="L1"/>
  <c r="F8"/>
  <c r="G28"/>
  <c r="F27" i="8"/>
  <c r="G85" i="5"/>
  <c r="G45"/>
  <c r="G64" i="15"/>
  <c r="G72" i="4"/>
  <c r="C17" i="8"/>
  <c r="B39" i="2"/>
  <c r="B27" i="8"/>
  <c r="A10" i="14"/>
  <c r="A8"/>
  <c r="A7"/>
  <c r="B5" i="12"/>
  <c r="B27"/>
  <c r="B31"/>
  <c r="B10"/>
  <c r="B9"/>
  <c r="B19"/>
  <c r="B23"/>
  <c r="D27" i="8"/>
  <c r="F21"/>
  <c r="E24" i="13"/>
  <c r="E26"/>
  <c r="F24" i="8"/>
  <c r="D16"/>
  <c r="D18"/>
  <c r="D19"/>
  <c r="D21"/>
  <c r="D24" i="13"/>
  <c r="D26"/>
  <c r="D24" i="8"/>
  <c r="D17"/>
  <c r="D20"/>
  <c r="D23"/>
  <c r="D25"/>
  <c r="B18"/>
  <c r="B19"/>
  <c r="B20"/>
  <c r="B21"/>
  <c r="C24" i="13"/>
  <c r="C26"/>
  <c r="B24" i="8"/>
  <c r="F13"/>
  <c r="B13"/>
  <c r="A10"/>
  <c r="F1" i="13"/>
  <c r="E9"/>
  <c r="A3"/>
  <c r="A2"/>
  <c r="B12" i="7"/>
  <c r="B1" i="15"/>
  <c r="B32" i="10"/>
  <c r="B22"/>
  <c r="C15"/>
  <c r="C14"/>
  <c r="B13"/>
  <c r="B11"/>
  <c r="B9"/>
  <c r="B6"/>
  <c r="B5"/>
  <c r="A3"/>
  <c r="C2"/>
  <c r="G3" i="3"/>
  <c r="G33"/>
  <c r="A4"/>
  <c r="D34" i="8"/>
  <c r="B34"/>
  <c r="D33"/>
  <c r="D32"/>
  <c r="D31"/>
  <c r="D35"/>
  <c r="B33"/>
  <c r="B32"/>
  <c r="B31"/>
  <c r="B35"/>
  <c r="A2" i="14"/>
  <c r="A1"/>
  <c r="D42" i="2"/>
  <c r="J6" i="12"/>
  <c r="D28" i="3"/>
  <c r="D27"/>
  <c r="D26"/>
  <c r="D25"/>
  <c r="C26"/>
  <c r="C25"/>
  <c r="A28"/>
  <c r="A27"/>
  <c r="A26"/>
  <c r="A25"/>
  <c r="D31"/>
  <c r="C23"/>
  <c r="A6"/>
  <c r="E27"/>
  <c r="E28"/>
  <c r="C1" i="10"/>
  <c r="I41" i="9"/>
  <c r="H41"/>
  <c r="B2"/>
  <c r="B1"/>
  <c r="B6" i="4"/>
  <c r="B2"/>
  <c r="B1"/>
  <c r="B41" i="2"/>
  <c r="B40"/>
  <c r="B38"/>
  <c r="B44" i="5"/>
  <c r="B6"/>
  <c r="B2"/>
  <c r="B1"/>
  <c r="B39" i="6"/>
  <c r="B6"/>
  <c r="B2"/>
  <c r="B1"/>
  <c r="A21" i="8"/>
  <c r="A20"/>
  <c r="A19"/>
  <c r="A18"/>
  <c r="A5"/>
  <c r="C19"/>
  <c r="C18"/>
  <c r="C16"/>
  <c r="B26"/>
  <c r="A16"/>
  <c r="A4"/>
  <c r="B14" i="7"/>
  <c r="B13"/>
  <c r="B2"/>
  <c r="B1"/>
  <c r="B11"/>
  <c r="C18" i="6"/>
  <c r="D18"/>
  <c r="E18"/>
  <c r="C51"/>
  <c r="D51"/>
  <c r="E51"/>
  <c r="C28" i="15"/>
  <c r="D52"/>
  <c r="B4" i="16"/>
  <c r="C78" i="5"/>
  <c r="B73"/>
  <c r="C15" i="7"/>
  <c r="C24"/>
  <c r="B18" i="17"/>
  <c r="B35" i="5"/>
  <c r="B29" i="17"/>
  <c r="B30"/>
  <c r="K18"/>
  <c r="C30" i="6"/>
  <c r="C9" i="13"/>
  <c r="K7" i="9"/>
  <c r="I28"/>
  <c r="A36" i="10"/>
  <c r="D30" i="8"/>
  <c r="A26" i="14"/>
  <c r="B39"/>
  <c r="E13" i="3"/>
  <c r="A10"/>
  <c r="A11" i="8"/>
  <c r="D13"/>
  <c r="G14"/>
  <c r="F30"/>
  <c r="A6" i="14"/>
  <c r="A24"/>
  <c r="C39"/>
  <c r="K28" i="17"/>
  <c r="B22" i="8"/>
  <c r="E6" i="16"/>
  <c r="H28" i="9"/>
  <c r="A26" i="16"/>
  <c r="C6"/>
  <c r="B6"/>
  <c r="I7" i="9"/>
  <c r="D6" i="16"/>
  <c r="C47" i="3"/>
  <c r="C32" i="6"/>
  <c r="D7"/>
  <c r="D20"/>
  <c r="D32"/>
  <c r="C40" i="5"/>
  <c r="D81" i="4"/>
  <c r="A14" i="14"/>
  <c r="C67" i="6"/>
  <c r="C35"/>
  <c r="D68" i="15"/>
  <c r="J5" i="10"/>
  <c r="J7"/>
  <c r="C89" i="5"/>
  <c r="E39"/>
  <c r="E59" i="15"/>
  <c r="D34" i="6"/>
  <c r="B30" i="8"/>
  <c r="F21" i="9"/>
  <c r="C32" i="4"/>
  <c r="C72" i="5"/>
  <c r="D45"/>
  <c r="C90"/>
  <c r="J16" i="8"/>
  <c r="J19"/>
  <c r="J25"/>
  <c r="J31"/>
  <c r="J33"/>
  <c r="M14"/>
  <c r="M33"/>
  <c r="J12"/>
  <c r="J18"/>
  <c r="J23"/>
  <c r="J26"/>
  <c r="J32"/>
  <c r="A11" i="3"/>
  <c r="D14" i="7"/>
  <c r="E49" i="5"/>
  <c r="D13" i="7"/>
  <c r="E11" i="5"/>
  <c r="D12" i="7"/>
  <c r="E10" i="15"/>
  <c r="D11" i="7"/>
  <c r="E11" i="4"/>
  <c r="D20" i="5"/>
  <c r="D89"/>
  <c r="C34"/>
  <c r="D7"/>
  <c r="D22"/>
  <c r="D34"/>
  <c r="C88"/>
  <c r="C20"/>
  <c r="B75"/>
  <c r="C23" i="8"/>
  <c r="G66" i="15"/>
  <c r="C52"/>
  <c r="C68"/>
  <c r="B57"/>
  <c r="G21" i="25"/>
  <c r="G19"/>
  <c r="G23"/>
  <c r="G47" i="5"/>
  <c r="C54" i="15"/>
  <c r="D6"/>
  <c r="C69"/>
  <c r="G58"/>
  <c r="E77" i="5"/>
  <c r="D13" i="16"/>
  <c r="E58" i="4"/>
  <c r="E61"/>
  <c r="E13" i="16"/>
  <c r="E7" i="6"/>
  <c r="E20"/>
  <c r="E32"/>
  <c r="E33"/>
  <c r="D35"/>
  <c r="J68" i="5"/>
  <c r="J69"/>
  <c r="J70"/>
  <c r="J29"/>
  <c r="J30"/>
  <c r="J28"/>
  <c r="E67" i="4"/>
  <c r="J48" i="15"/>
  <c r="J49"/>
  <c r="J47"/>
  <c r="M34" i="8"/>
  <c r="J56" i="4"/>
  <c r="J57"/>
  <c r="J55"/>
  <c r="G18" i="25"/>
  <c r="F35" i="8"/>
  <c r="B55" i="15"/>
  <c r="C60"/>
  <c r="G56" i="4"/>
  <c r="H61"/>
  <c r="H63"/>
  <c r="H66"/>
  <c r="G51" i="15"/>
  <c r="H54"/>
  <c r="H56"/>
  <c r="H59"/>
  <c r="H64"/>
  <c r="H66"/>
  <c r="H72" i="4"/>
  <c r="H74"/>
  <c r="G29" i="5"/>
  <c r="H34"/>
  <c r="H36"/>
  <c r="H39"/>
  <c r="H44"/>
  <c r="H46"/>
  <c r="G65"/>
  <c r="G72"/>
  <c r="H75"/>
  <c r="H77"/>
  <c r="H80"/>
  <c r="H85"/>
  <c r="D6" i="4"/>
  <c r="C68"/>
  <c r="D5" i="15"/>
  <c r="C6" i="5"/>
  <c r="C44"/>
  <c r="E6"/>
  <c r="E44"/>
  <c r="D6" i="6"/>
  <c r="D39"/>
  <c r="B33"/>
  <c r="B63" i="4"/>
  <c r="A18" i="3"/>
  <c r="F15"/>
  <c r="G52" i="4"/>
  <c r="G59"/>
  <c r="H62"/>
  <c r="H64"/>
  <c r="H67"/>
  <c r="G44" i="15"/>
  <c r="H53"/>
  <c r="H55"/>
  <c r="H58"/>
  <c r="H63"/>
  <c r="H65"/>
  <c r="H71" i="4"/>
  <c r="H73"/>
  <c r="G25" i="5"/>
  <c r="G32"/>
  <c r="H35"/>
  <c r="H37"/>
  <c r="H40"/>
  <c r="H45"/>
  <c r="H47"/>
  <c r="G69"/>
  <c r="H74"/>
  <c r="H76"/>
  <c r="H79"/>
  <c r="H84"/>
  <c r="H86"/>
  <c r="C6" i="4"/>
  <c r="C5" i="15"/>
  <c r="C6" i="6"/>
  <c r="C39"/>
  <c r="E6"/>
  <c r="E39"/>
  <c r="D30" i="15"/>
  <c r="D54"/>
  <c r="D28"/>
  <c r="B65" i="4"/>
  <c r="E28" i="7"/>
  <c r="F12"/>
  <c r="D26"/>
  <c r="E13"/>
  <c r="E12" i="5"/>
  <c r="D58"/>
  <c r="D60"/>
  <c r="D72"/>
  <c r="F19" i="8"/>
  <c r="E75" i="5"/>
  <c r="E70"/>
  <c r="E26" i="3"/>
  <c r="F74" i="5"/>
  <c r="F64" i="4"/>
  <c r="F16" i="8"/>
  <c r="F17"/>
  <c r="F18"/>
  <c r="F23"/>
  <c r="F25"/>
  <c r="E60" i="4"/>
  <c r="E23" i="3"/>
  <c r="G24" i="10"/>
  <c r="G26"/>
  <c r="J28"/>
  <c r="J30"/>
  <c r="E24" i="3"/>
  <c r="E52" i="15"/>
  <c r="F56"/>
  <c r="E57"/>
  <c r="E32" i="5"/>
  <c r="E37"/>
  <c r="F36"/>
  <c r="E25" i="3"/>
  <c r="G74" i="4"/>
  <c r="M18" i="8"/>
  <c r="M26"/>
  <c r="C62" i="4"/>
  <c r="C82"/>
  <c r="E65"/>
  <c r="B16" i="8"/>
  <c r="B23"/>
  <c r="B25"/>
  <c r="G66" i="4"/>
  <c r="D8" i="25"/>
  <c r="G74" i="5"/>
  <c r="D90"/>
  <c r="B76"/>
  <c r="E45"/>
  <c r="E30" i="3"/>
  <c r="D7" i="4"/>
  <c r="D88" i="5"/>
  <c r="B38"/>
  <c r="E7"/>
  <c r="G34"/>
  <c r="D69" i="15"/>
  <c r="B58"/>
  <c r="G53"/>
  <c r="E6"/>
  <c r="D34" i="4"/>
  <c r="D62"/>
  <c r="D32"/>
  <c r="D15" i="7"/>
  <c r="D82" i="4"/>
  <c r="B66"/>
  <c r="E7"/>
  <c r="G61"/>
  <c r="E5" i="15"/>
  <c r="C9" i="7"/>
  <c r="B9"/>
  <c r="D9" i="13"/>
  <c r="B29"/>
  <c r="E12" i="15"/>
  <c r="F13" i="7"/>
  <c r="E13" i="5"/>
  <c r="E21"/>
  <c r="F14" i="7"/>
  <c r="E51" i="5"/>
  <c r="E14" i="7"/>
  <c r="E50" i="5"/>
  <c r="E59"/>
  <c r="E12" i="7"/>
  <c r="J30" i="17"/>
  <c r="K29"/>
  <c r="C68" i="6"/>
  <c r="D40"/>
  <c r="D53"/>
  <c r="D65"/>
  <c r="G35" i="5"/>
  <c r="E22"/>
  <c r="E38"/>
  <c r="E40"/>
  <c r="E20"/>
  <c r="F11" i="7"/>
  <c r="E11" i="15"/>
  <c r="E29"/>
  <c r="E11" i="7"/>
  <c r="G75" i="5"/>
  <c r="E60"/>
  <c r="E76"/>
  <c r="E78"/>
  <c r="E58"/>
  <c r="H18" i="8"/>
  <c r="G44" i="5"/>
  <c r="F25" i="3"/>
  <c r="G18" i="8"/>
  <c r="G36" i="5"/>
  <c r="K36"/>
  <c r="G25" i="3"/>
  <c r="G37" i="5"/>
  <c r="G40"/>
  <c r="E40" i="6"/>
  <c r="E53"/>
  <c r="E65"/>
  <c r="E66"/>
  <c r="D68"/>
  <c r="E13" i="4"/>
  <c r="F15" i="7"/>
  <c r="H19" i="8"/>
  <c r="G84" i="5"/>
  <c r="F26" i="3"/>
  <c r="G76" i="5"/>
  <c r="K76"/>
  <c r="G26" i="3"/>
  <c r="G19" i="8"/>
  <c r="E12" i="4"/>
  <c r="E33"/>
  <c r="E15" i="7"/>
  <c r="G54" i="15"/>
  <c r="E30"/>
  <c r="E58"/>
  <c r="E60"/>
  <c r="E28"/>
  <c r="G77" i="5"/>
  <c r="G80"/>
  <c r="G24" i="3"/>
  <c r="J32" i="10"/>
  <c r="J34"/>
  <c r="G55" i="15"/>
  <c r="K55"/>
  <c r="G17" i="8"/>
  <c r="H17"/>
  <c r="G63" i="15"/>
  <c r="F24" i="3"/>
  <c r="G62" i="4"/>
  <c r="E34"/>
  <c r="E66"/>
  <c r="E68"/>
  <c r="E32"/>
  <c r="G56" i="15"/>
  <c r="G59"/>
  <c r="G16" i="8"/>
  <c r="G23"/>
  <c r="M25"/>
  <c r="M27"/>
  <c r="G63" i="4"/>
  <c r="K63"/>
  <c r="H16" i="8"/>
  <c r="F23" i="3"/>
  <c r="F30"/>
  <c r="G23"/>
  <c r="G30"/>
  <c r="G64" i="4"/>
  <c r="G67"/>
  <c r="F31" i="3"/>
  <c r="I70" i="15"/>
  <c r="I89" i="5"/>
  <c r="I76" i="4"/>
  <c r="I49" i="5"/>
  <c r="G71" i="4"/>
  <c r="H23" i="8"/>
  <c r="M21"/>
  <c r="J21"/>
  <c r="M20"/>
  <c r="J20"/>
  <c r="G46" i="5"/>
  <c r="G73" i="4"/>
  <c r="G65" i="15"/>
  <c r="M31" i="8"/>
  <c r="G86" i="5"/>
</calcChain>
</file>

<file path=xl/sharedStrings.xml><?xml version="1.0" encoding="utf-8"?>
<sst xmlns="http://schemas.openxmlformats.org/spreadsheetml/2006/main" count="1196" uniqueCount="816">
  <si>
    <t>13f. Once the 'Notice of Budget Hearing' has been printed in the local newspaper, please review the notice to ensure the information was correctly printed.  If the information is not correct, the Notice may need to be republished, and may delay the submission of the budget.</t>
  </si>
  <si>
    <r>
      <t xml:space="preserve">11e. All levy fund pages have a Non-Appropriated Balance block. K.S.A. 79-2927 allows the special district to enter an amount </t>
    </r>
    <r>
      <rPr>
        <b/>
        <u/>
        <sz val="12"/>
        <rFont val="Times New Roman"/>
        <family val="1"/>
      </rPr>
      <t>not to exceed 5%</t>
    </r>
    <r>
      <rPr>
        <sz val="12"/>
        <rFont val="Times New Roman"/>
        <family val="1"/>
      </rPr>
      <t xml:space="preserve"> of the total expenditures for each fund. The Non-Appropriated Balance block is not mandatory to have an amount entered.  If the amount entered in the block exceeds the 5%, a warning "</t>
    </r>
    <r>
      <rPr>
        <sz val="12"/>
        <color indexed="10"/>
        <rFont val="Times New Roman"/>
        <family val="1"/>
      </rPr>
      <t>Exceeds 5%</t>
    </r>
    <r>
      <rPr>
        <sz val="12"/>
        <rFont val="Times New Roman"/>
        <family val="1"/>
      </rPr>
      <t xml:space="preserve">" will appear and the </t>
    </r>
    <r>
      <rPr>
        <sz val="12"/>
        <color indexed="10"/>
        <rFont val="Times New Roman"/>
        <family val="1"/>
      </rPr>
      <t>block turns red</t>
    </r>
    <r>
      <rPr>
        <sz val="12"/>
        <rFont val="Times New Roman"/>
        <family val="1"/>
      </rPr>
      <t xml:space="preserve">.  In order to remove this warning message, you </t>
    </r>
    <r>
      <rPr>
        <u/>
        <sz val="12"/>
        <rFont val="Times New Roman"/>
        <family val="1"/>
      </rPr>
      <t>must reduce</t>
    </r>
    <r>
      <rPr>
        <sz val="12"/>
        <rFont val="Times New Roman"/>
        <family val="1"/>
      </rPr>
      <t xml:space="preserve"> the non-appropriate figure.</t>
    </r>
  </si>
  <si>
    <r>
      <t>11f. Each fund after the "unencumbered cash bal dec31", will show the budget authority expenditure amount.  A comparison is made between the budget authority for the actual year and the actual total expenditures for the actual year as shown in the budget. If the total expenditures exceed the budget authority amount, then a "</t>
    </r>
    <r>
      <rPr>
        <b/>
        <sz val="12"/>
        <color indexed="10"/>
        <rFont val="Times New Roman"/>
        <family val="1"/>
      </rPr>
      <t>See Tab A</t>
    </r>
    <r>
      <rPr>
        <sz val="12"/>
        <rFont val="Times New Roman"/>
        <family val="1"/>
      </rPr>
      <t>" appears to indicate a possible violation.  Another comparison is made for the unencumbered cash balance dec 31 to determine if the fund ended with a negative cash balance and if so, then a "</t>
    </r>
    <r>
      <rPr>
        <b/>
        <sz val="12"/>
        <color indexed="10"/>
        <rFont val="Times New Roman"/>
        <family val="1"/>
      </rPr>
      <t>See Tab B</t>
    </r>
    <r>
      <rPr>
        <sz val="12"/>
        <rFont val="Times New Roman"/>
        <family val="1"/>
      </rPr>
      <t xml:space="preserve">" will appear for the possible violation.  </t>
    </r>
  </si>
  <si>
    <r>
      <t>11g. A comparison is made between the budget authority for the current year and total expenditures for the current budget expenditures as shown in the budget. If the current year adjusted expenditures are more than the budget authority, then a possible violation has occurred and red '</t>
    </r>
    <r>
      <rPr>
        <b/>
        <sz val="12"/>
        <color indexed="10"/>
        <rFont val="Times New Roman"/>
        <family val="1"/>
      </rPr>
      <t>See Tab C</t>
    </r>
    <r>
      <rPr>
        <sz val="12"/>
        <rFont val="Times New Roman"/>
        <family val="1"/>
      </rPr>
      <t>' will appear and expenditure block turns red. Another comparison is made for the unencumbered cash balance dec 31 to determine if the fund ended with a negative cash balance and if so, then a "</t>
    </r>
    <r>
      <rPr>
        <b/>
        <sz val="12"/>
        <color indexed="10"/>
        <rFont val="Times New Roman"/>
        <family val="1"/>
      </rPr>
      <t>See Tab D</t>
    </r>
    <r>
      <rPr>
        <sz val="12"/>
        <rFont val="Times New Roman"/>
        <family val="1"/>
      </rPr>
      <t xml:space="preserve">" will appear for the possible violation.  </t>
    </r>
  </si>
  <si>
    <t xml:space="preserve">Naturally, our preference would be that you consider </t>
  </si>
  <si>
    <t>ensure that your expenditures do not, at year-end, exceed your</t>
  </si>
  <si>
    <t>budget authority for this fund.</t>
  </si>
  <si>
    <t>What should I do at this time?</t>
  </si>
  <si>
    <t>Well, the easiest thing to do at this time is to increase</t>
  </si>
  <si>
    <t>any underestimated revenue numbers, or decrease</t>
  </si>
  <si>
    <t>any overestimated expenditure numbers, or a combination</t>
  </si>
  <si>
    <t>of the two.</t>
  </si>
  <si>
    <t>What if I check my estimates and find that we're still</t>
  </si>
  <si>
    <t>on pace for a budget law violation?</t>
  </si>
  <si>
    <t xml:space="preserve">be reduced or eliminated.  For example, are you showing any </t>
  </si>
  <si>
    <t>A sometimes overlooked option is to use your general</t>
  </si>
  <si>
    <t>fund to cover the excess expenditures, assuming that the</t>
  </si>
  <si>
    <t>general fund is not the one that's in trouble and that it</t>
  </si>
  <si>
    <t>has the budget authority and cash to absorb additional</t>
  </si>
  <si>
    <t>expenditures.</t>
  </si>
  <si>
    <t>Finally, If none of the above options can be applied and the</t>
  </si>
  <si>
    <t>fund has an unencumbered cash balance which will cover</t>
  </si>
  <si>
    <t>the estimated overage, the budget can be amended before</t>
  </si>
  <si>
    <t>the end of the fiscal year.  Remember, though, that</t>
  </si>
  <si>
    <t xml:space="preserve">the amendment process must occur before the end of the </t>
  </si>
  <si>
    <t>fiscal year.</t>
  </si>
  <si>
    <t>If the fund does not have enough ending cash so that an</t>
  </si>
  <si>
    <t>amendment will cover the expected overage, but another fund</t>
  </si>
  <si>
    <t>does have enough unemcumbered cash (along with budget</t>
  </si>
  <si>
    <t xml:space="preserve">authority and statutory authority to transfer to the </t>
  </si>
  <si>
    <t>fund with the potential budget law violation), go ahead</t>
  </si>
  <si>
    <t>and make the transfer and then amend the budget.</t>
  </si>
  <si>
    <t>Current Year - Possible Cash Basis Law Violation</t>
  </si>
  <si>
    <t>you will have a negative unencumbered cash balance in this</t>
  </si>
  <si>
    <t>fund.</t>
  </si>
  <si>
    <t>Should this be fixed?</t>
  </si>
  <si>
    <t>Yes, by all means.  You really don't want to end this year</t>
  </si>
  <si>
    <t>with a negative cash balance in the fund.  At a minimum</t>
  </si>
  <si>
    <t>you will want your ending cash balance to be $0.</t>
  </si>
  <si>
    <t>Now, it is possible that this is one of those funds which</t>
  </si>
  <si>
    <t>may, under K.S.A. 10-1116, end the year with a negative cash</t>
  </si>
  <si>
    <t>balance, but otherwise you will want to make sure that it</t>
  </si>
  <si>
    <t>does not.</t>
  </si>
  <si>
    <t xml:space="preserve">Either your fund receipts will need to be increased before </t>
  </si>
  <si>
    <t>the end of the year (transfer from another fund) or your</t>
  </si>
  <si>
    <t>expenditures will need to be decreased before the end of the</t>
  </si>
  <si>
    <t>year (shifting of expenditures to another fund), or a</t>
  </si>
  <si>
    <t>combination of the two.</t>
  </si>
  <si>
    <t xml:space="preserve">On the revenue side of the fund you might increase your </t>
  </si>
  <si>
    <t>receipts through one or more transfers, contingent upon</t>
  </si>
  <si>
    <t xml:space="preserve">available cash, budget authority, and statutory authority for </t>
  </si>
  <si>
    <t>the transfer from the fund or funds from which one or</t>
  </si>
  <si>
    <t>more transfers might be made.</t>
  </si>
  <si>
    <t>Proposed Budget Year - Possible Budget Law Violation</t>
  </si>
  <si>
    <t>No Levy Funds</t>
  </si>
  <si>
    <t>Unemcumbered cash balance Dec 31.'</t>
  </si>
  <si>
    <t>In short, you are looking at a budget law violation if you</t>
  </si>
  <si>
    <t>adopt a budget in which there exists a fund with a negative</t>
  </si>
  <si>
    <t>ending cash balance.</t>
  </si>
  <si>
    <t>13. InputBudSum tab, added official name and latest date for publication of Notice of Budget Hearing</t>
  </si>
  <si>
    <t>14. Cert tab, right justifyed figures versus having figures centered</t>
  </si>
  <si>
    <t>15. Cert tab, put spaces between governing body signatures block</t>
  </si>
  <si>
    <t>16. Mvalloc tab, removed slider column and computation for slider</t>
  </si>
  <si>
    <t>17. All tax levy fund pages removed the link from Mvalloc tab for slider and converted cells to blank</t>
  </si>
  <si>
    <t xml:space="preserve">18. Debt and Lpform tab added a blank new column at left side and formated 'type of debt' and 'item purchased'  </t>
  </si>
  <si>
    <t>19. All fund pages changed the year column heading, example 'Prior Year Actual' to 'Prior Year' second line 'Actual YYYY'</t>
  </si>
  <si>
    <t xml:space="preserve">20. Change out the 'Mill Rate Computation' tab so to agree with the website </t>
  </si>
  <si>
    <t>21. All tax levy fund pages added 'Mill Rate Comparison' table</t>
  </si>
  <si>
    <t>22. Certificate tab added a place for the email address of the assisted by</t>
  </si>
  <si>
    <r>
      <t xml:space="preserve">2.  The information needed for the Input Prior Year Sheet (inputPrYr) comes directly from last year budget.  After the information has been entered, please verify the data is correct.  If at a later date, it is determined  the information is incorrect, correct the information on this page, not the fund page. </t>
    </r>
    <r>
      <rPr>
        <b/>
        <sz val="12"/>
        <rFont val="Times New Roman"/>
        <family val="1"/>
      </rPr>
      <t/>
    </r>
  </si>
  <si>
    <t xml:space="preserve">5b.  If someone other than a municipal employee assists in preparing the budget, please enter the person's or firm's name and address in the area provided or email address. </t>
  </si>
  <si>
    <t>11.  Individual fund sheets (tab names gen, DebtService, levy pages, nolevy pages, and nonbud) need to be completed, using only those you need and numbering each page used.  When the fund pages are completed, the totals will be shown on the Certificate and Budget Summary pages.</t>
  </si>
  <si>
    <t>Is a resolution required?</t>
  </si>
  <si>
    <t>1.  Added "resolution required?  yes/no" message to area adjacent to each tax levy fund</t>
  </si>
  <si>
    <t>The following were changed to this spreadsheet on 10/10/12</t>
  </si>
  <si>
    <t>The following were changed to this spreadsheet on 3/6/13</t>
  </si>
  <si>
    <t>1. Correction to the total assessed valuation year formula on the certificate tab</t>
  </si>
  <si>
    <t xml:space="preserve">Please read these instructions carefully.  If after reviewing them you still have questions, call Rogers Brazier at 785.296.2846 or email to armunis@da.ks.gov </t>
  </si>
  <si>
    <t>The following were changed to this spreadsheet on 3/27/13</t>
  </si>
  <si>
    <t>1.  Instruction tab narrative modification</t>
  </si>
  <si>
    <r>
      <t xml:space="preserve">9.  Statement of Indebtedness (debt) must show all the debt owed or proposed to be issued.  The general obligation and revenue bond totals for budget year is entered on the Budget Summary but you must enter the amounts on the (inputpryr) for the other two years from the current year budget. </t>
    </r>
    <r>
      <rPr>
        <b/>
        <sz val="12"/>
        <rFont val="Times New Roman"/>
        <family val="1"/>
      </rPr>
      <t>If the special district does not have any debt, then on the first line enter 'none'.</t>
    </r>
  </si>
  <si>
    <t xml:space="preserve">12. Neighborhood Revitalization (nhood) should be completed only after all tax levy fund pages been completed and the levy rates have been computed on the Budget Summary page.  You will need to either print the Budget Summary page or write down the dollar amount of ad valorem needed for each tax levy fund.  The ad valorem amounts for each fund will then be input in the neighborhood revitalization table.  The table will then compute the approximate amount of rebate and link to each tax levy fund page. This will cause each tax levy fund to have an entry in the neighborhood revitalization expenditure block, increase the total expenditures  amount, recomputed the ad valorem needed, and link the new amount to the Budget Summary page.  </t>
  </si>
  <si>
    <r>
      <t xml:space="preserve">12a. </t>
    </r>
    <r>
      <rPr>
        <b/>
        <sz val="12"/>
        <rFont val="Times New Roman"/>
        <family val="1"/>
      </rPr>
      <t>Warning</t>
    </r>
    <r>
      <rPr>
        <sz val="12"/>
        <rFont val="Times New Roman"/>
        <family val="1"/>
      </rPr>
      <t>, if you had already set the ad valorem taxes so that they were equal to or below the max amount for ad valorem without passing a ordinance, then the neighborhood revitalization rebate might cause the ad valorem tax amount to exceed the max levying amount. If so, you have three options, accept the rebate expenditures and pass the ordinance, or accept the rebate expenditures and reduce other expenditures to come back under the max amount for levying, or lastly, not use the rebate expenditures by deleting the ad valorem taxes that were keyed into the Neighborhood Revitalization Table.</t>
    </r>
  </si>
  <si>
    <r>
      <t xml:space="preserve">12b. </t>
    </r>
    <r>
      <rPr>
        <b/>
        <sz val="12"/>
        <rFont val="Times New Roman"/>
        <family val="1"/>
      </rPr>
      <t>Note</t>
    </r>
    <r>
      <rPr>
        <sz val="12"/>
        <rFont val="Times New Roman"/>
        <family val="1"/>
      </rPr>
      <t>: You are not required to use the Neighborhood Revitalization Table and may continue doing the way you have in the past. The table can be used to know approximate amount of the rebate so that you will have an idea of the amount of ad valorem taxes you will not be receiving.</t>
    </r>
  </si>
  <si>
    <r>
      <t xml:space="preserve">12c. </t>
    </r>
    <r>
      <rPr>
        <b/>
        <sz val="12"/>
        <rFont val="Times New Roman"/>
        <family val="1"/>
      </rPr>
      <t>Note: If you do not have Neighborhood Revitalization, this step is not done.</t>
    </r>
  </si>
  <si>
    <t xml:space="preserve">13.  Budget Summary (summ) should link the information from other worksheets.  If you find information which is not correct, please go to the worksheet from which the information is linked, and  take corrective action. If you can not correct the error, please contact us for assistance.   </t>
  </si>
  <si>
    <t>14.  Certificate (cert) form should be reviewed to verify that all amounts agree with the fund pages and Budget Summary page.  Ensure the Certificate page is signed by the governing body.</t>
  </si>
  <si>
    <t>15.  Review all forms to see that the amounts match and everything is printed properly.</t>
  </si>
  <si>
    <t>13a. At the bottom, there is a green shaded area, enter the page number.</t>
  </si>
  <si>
    <t>the Neighborhood Revitalization Rebate table.</t>
  </si>
  <si>
    <t>The following were changed to this spreadsheet on 12/28/09</t>
  </si>
  <si>
    <t xml:space="preserve">8b. Adjustments are made for only those non-budgeted expenditure transfers appearing in the current and/or proposed columns of the schedule and do not have expenditures shown in the Budget Summary current and proposed columns. These types of transfers are not truely an expenditure at this time and as such an adjustment is needed to show the taxpayers the actual expenditures for the municipality. </t>
  </si>
  <si>
    <r>
      <t>Adjustments</t>
    </r>
    <r>
      <rPr>
        <b/>
        <sz val="12"/>
        <color indexed="10"/>
        <rFont val="Times New Roman"/>
        <family val="1"/>
      </rPr>
      <t>*</t>
    </r>
  </si>
  <si>
    <t>Receipt</t>
  </si>
  <si>
    <t xml:space="preserve">Fund Transferred </t>
  </si>
  <si>
    <t>Fund Transferred</t>
  </si>
  <si>
    <t>*Note:</t>
  </si>
  <si>
    <t>1. Nhood tab added note for computing table</t>
  </si>
  <si>
    <t>The following were changed to this spreadsheet on 1/05/10</t>
  </si>
  <si>
    <t>2. Transfers tab changed note so to identify current and proposed columns for non-budgeted funds transfers</t>
  </si>
  <si>
    <t>3. Transfers tab changed first two column heading adding 'expenditures' and 'receipts'</t>
  </si>
  <si>
    <t>1. Instruction tab added line 8b concerning schedule of transfers adjustments</t>
  </si>
  <si>
    <t>for Expenditures</t>
  </si>
  <si>
    <t>Does misc. exceed 10% Total Expenditures</t>
  </si>
  <si>
    <t>Does misc. exceed 10% of Total Receipts</t>
  </si>
  <si>
    <t>Assisted by:</t>
  </si>
  <si>
    <t>Address:</t>
  </si>
  <si>
    <t>Estimate</t>
  </si>
  <si>
    <t>How To Compute The Value of One Mill, And The Impact Of Tax Dollars And Assessed Valuation On Mill Rates</t>
  </si>
  <si>
    <t>* * * * *</t>
  </si>
  <si>
    <t>To Compute the Value of One Mill</t>
  </si>
  <si>
    <t>Example #1 and Formula</t>
  </si>
  <si>
    <t>This example allows you to compute a mill rate.  Simply input in the green area the total assessed valuation for your municipality.</t>
  </si>
  <si>
    <t>Formula:</t>
  </si>
  <si>
    <t>Assessed valuation = X</t>
  </si>
  <si>
    <t>X / 1000 = value of one mill</t>
  </si>
  <si>
    <t>Input the assessed valuation:</t>
  </si>
  <si>
    <t>=</t>
  </si>
  <si>
    <t>/</t>
  </si>
  <si>
    <t>(assessed valuation)</t>
  </si>
  <si>
    <t>(value of one mill)</t>
  </si>
  <si>
    <t>To Determine a Mill Rate Increase</t>
  </si>
  <si>
    <t>Example #2 and Formula</t>
  </si>
  <si>
    <t>Example #2 allows you to compute the impact on mill rate by a specific dollar amount of property tax.  This example might be useful at a budget hearing when the governing body is making small adjustments to one or more property tax funds and would like to know the impact of those changes on the total mill rate.  As with the first example, input the municipality's total assessed valuation in the first green box, and with the second green box input the amount of property tax dollars under consideration.</t>
  </si>
  <si>
    <t>Computation of Example:</t>
  </si>
  <si>
    <r>
      <t xml:space="preserve">The </t>
    </r>
    <r>
      <rPr>
        <b/>
        <sz val="11"/>
        <color indexed="8"/>
        <rFont val="Cambria"/>
        <family val="1"/>
      </rPr>
      <t>first step</t>
    </r>
    <r>
      <rPr>
        <sz val="11"/>
        <rFont val="Cambria"/>
        <family val="1"/>
      </rPr>
      <t xml:space="preserve"> is to determine the value of one mill:</t>
    </r>
  </si>
  <si>
    <r>
      <t xml:space="preserve">In the </t>
    </r>
    <r>
      <rPr>
        <b/>
        <sz val="11"/>
        <color indexed="8"/>
        <rFont val="Cambria"/>
        <family val="1"/>
      </rPr>
      <t>next step</t>
    </r>
    <r>
      <rPr>
        <sz val="11"/>
        <rFont val="Cambria"/>
        <family val="1"/>
      </rPr>
      <t>, we will determine the increase:</t>
    </r>
  </si>
  <si>
    <t xml:space="preserve">$50,000 (increased property tax) / $312,000 (mill value) = .160 increase to the mill rate </t>
  </si>
  <si>
    <t>(asd. val.)</t>
  </si>
  <si>
    <t>(value one mill)</t>
  </si>
  <si>
    <t>(property tax)</t>
  </si>
  <si>
    <t xml:space="preserve">(mill value) </t>
  </si>
  <si>
    <t>(mill rate increase)</t>
  </si>
  <si>
    <t>Impact of a Property Tax Increase on a $100,000 Home</t>
  </si>
  <si>
    <t>Example #3a and Formula</t>
  </si>
  <si>
    <t>Example #3a allows you to quickly compute the standard "impact of a property tax increase on a $100,000 home" (or any other residential property value, for that matter).   Using the same information as in example #2, the additional piece of information to input in this example is a residential property value.  Additionally, residential property is assessed at 11.5% of its value (K.S.A. 79-1439(b)(1)(A)).</t>
  </si>
  <si>
    <r>
      <t xml:space="preserve">The </t>
    </r>
    <r>
      <rPr>
        <b/>
        <sz val="11"/>
        <color indexed="8"/>
        <rFont val="Cambria"/>
        <family val="1"/>
      </rPr>
      <t>first step</t>
    </r>
    <r>
      <rPr>
        <sz val="11"/>
        <rFont val="Cambria"/>
        <family val="1"/>
      </rPr>
      <t xml:space="preserve"> is to determine the mill rate:</t>
    </r>
  </si>
  <si>
    <r>
      <t xml:space="preserve">The </t>
    </r>
    <r>
      <rPr>
        <b/>
        <sz val="11"/>
        <color indexed="8"/>
        <rFont val="Cambria"/>
        <family val="1"/>
      </rPr>
      <t>second step</t>
    </r>
    <r>
      <rPr>
        <sz val="11"/>
        <rFont val="Cambria"/>
        <family val="1"/>
      </rPr>
      <t xml:space="preserve"> is to determine the residential property assessed value:</t>
    </r>
  </si>
  <si>
    <t>$100,000 home x .115 = $11,500 (assessed value)</t>
  </si>
  <si>
    <r>
      <t xml:space="preserve">The </t>
    </r>
    <r>
      <rPr>
        <b/>
        <sz val="11"/>
        <color indexed="8"/>
        <rFont val="Cambria"/>
        <family val="1"/>
      </rPr>
      <t>last step</t>
    </r>
    <r>
      <rPr>
        <sz val="11"/>
        <rFont val="Cambria"/>
        <family val="1"/>
      </rPr>
      <t xml:space="preserve"> is to determine the property tax increase:</t>
    </r>
  </si>
  <si>
    <t>First Step:</t>
  </si>
  <si>
    <t>(value of 1 mill)</t>
  </si>
  <si>
    <t>(increased prop. tax)</t>
  </si>
  <si>
    <t>Second Step:</t>
  </si>
  <si>
    <t>(increase mill rate)</t>
  </si>
  <si>
    <t xml:space="preserve">(value of the home) </t>
  </si>
  <si>
    <t>Third Step:</t>
  </si>
  <si>
    <t>(assessed value)</t>
  </si>
  <si>
    <t xml:space="preserve">(assessed value) </t>
  </si>
  <si>
    <t>(increase tax)</t>
  </si>
  <si>
    <t>Result:</t>
  </si>
  <si>
    <t>Impact of a Property Tax Increase on Unimproved Ag Land</t>
  </si>
  <si>
    <t>Example #3b and Formula</t>
  </si>
  <si>
    <t>Example #3b uses the same computation as example #3a, except in this case we are computing the impact of property taxes on unimproved agricultural land.  Unimproved agricultural land is assessed at 30% pursuant to K.S.A. 79-1439(b)(1)(B)).</t>
  </si>
  <si>
    <t xml:space="preserve">(value of the property) </t>
  </si>
  <si>
    <t>Impact of a Property Tax Increase on Commercial, Industrial, Railroad, and Improved Ag Land</t>
  </si>
  <si>
    <t>Example #3c and Formula</t>
  </si>
  <si>
    <t>Example #3c uses the same computation as examples #3a and #3b, except in this case we are computing the impact of property taxes on commercial, industrial, railroad, and improved agricultural land.  The foregoing categories of land are assessed at 25% pursuant to K.S.A. 79-1439(b)(1)(F)).</t>
  </si>
  <si>
    <t>Impact of Total Mills on an Individual Home</t>
  </si>
  <si>
    <t>Example #4 and Formula</t>
  </si>
  <si>
    <t xml:space="preserve">To compute the impact of all mills to be levied against a specific home valuation, simply key in the "value of the home" green area with the home valuation, and the total mill rate in the "total mill rate" green area (number at bottom of 'Estimate Tax Rate' column on the budget summary page).  Remember, a computation using the above described information does not take into account taxes that may be levied by other municipalities.  </t>
  </si>
  <si>
    <t>(value of the home)</t>
  </si>
  <si>
    <t>(residential %)</t>
  </si>
  <si>
    <t>(total mill rate)</t>
  </si>
  <si>
    <t>(impact, total mills)</t>
  </si>
  <si>
    <t>How to Achieve the Same Mill Rate as the Year Before</t>
  </si>
  <si>
    <t>Example #5 and Formula</t>
  </si>
  <si>
    <t>Maybe your governing body wants the budget to have the same mill rate as the year before.  This is not an unusual goal of municipality governing bodies.  To do so simply key in the desired mill rate in the first green box, the preliminary total assessed valuation in the second green box, and hit "enter."  The result will be the amount in dollars that you must levy (total of all tax levy funds) in your proposed budget.</t>
  </si>
  <si>
    <t>(desired mill rate)</t>
  </si>
  <si>
    <t>(total assd. valuation)</t>
  </si>
  <si>
    <t>(total taxes levied)</t>
  </si>
  <si>
    <t>Helpful Links</t>
  </si>
  <si>
    <t>Municipal Services (Kansas Department of Administration, Accounts and Reports) – Budget forms, confirmation of payments, transfer statutes, non-budgeted fund statutes, etc.</t>
  </si>
  <si>
    <t>http://www.da.ks.gov/ar/muniserv/</t>
  </si>
  <si>
    <t>State Debt Setoff Program (Kansas Department of Administration, Accounts and Reports) – Passive collection tool to assist municipalities with collection of unpaid utility bills, etc.</t>
  </si>
  <si>
    <t>http://www.da.ks.gov/ar/setoff/</t>
  </si>
  <si>
    <t>League of Kansas Municipalities – City-County Highway Fund estimates</t>
  </si>
  <si>
    <t>http://www.lkm.org/resources/budgettips/</t>
  </si>
  <si>
    <t>League of Kansas Municipalities – Directory of Kansas Public Officials</t>
  </si>
  <si>
    <t>http://www.lkm.org/publications/dokpopop.html</t>
  </si>
  <si>
    <t>Kansas Legislature – Kansas Statutes (usually updated in January), House and Senate Bills, etc.</t>
  </si>
  <si>
    <t>http://www.kslegislature.org/legsrv-statutes/index.do</t>
  </si>
  <si>
    <t>Kansas Attorney General Opinions</t>
  </si>
  <si>
    <t>http://ksag.washburnlaw.edu/</t>
  </si>
  <si>
    <t>Kansas State Treasurer – Municipal Distributions</t>
  </si>
  <si>
    <t>http://www.kansasstatetreasurer.com/prodweb/dist/index.php</t>
  </si>
  <si>
    <t>Kansas Department of Revenue</t>
  </si>
  <si>
    <t>http://www.ksrevenue.org/</t>
  </si>
  <si>
    <t>Kansas Department of Revenue – Property Valuation</t>
  </si>
  <si>
    <t>http://www.ksrevenue.org/pvd.htm</t>
  </si>
  <si>
    <t>Kansas Pooled Money Investment Board – Investment of Idle Funds in the Municipal Investment Pool</t>
  </si>
  <si>
    <t>https://www.pooledmoneyinvestmentboard.com/</t>
  </si>
  <si>
    <r>
      <t>K.S.A. 12-16,102.</t>
    </r>
    <r>
      <rPr>
        <sz val="12"/>
        <color indexed="8"/>
        <rFont val="Times New Roman"/>
        <family val="1"/>
      </rPr>
      <t xml:space="preserve">  </t>
    </r>
    <r>
      <rPr>
        <b/>
        <sz val="12"/>
        <color indexed="8"/>
        <rFont val="Times New Roman"/>
        <family val="1"/>
      </rPr>
      <t>Employee benefits trust funds.</t>
    </r>
    <r>
      <rPr>
        <sz val="12"/>
        <color indexed="8"/>
        <rFont val="Times New Roman"/>
        <family val="1"/>
      </rPr>
      <t xml:space="preserve">  For the purpose of holding and investing the assets of other postemployment benefits funds any taxing subdivision may establish one or more trust funds.</t>
    </r>
  </si>
  <si>
    <r>
      <t xml:space="preserve">K.S.A. </t>
    </r>
    <r>
      <rPr>
        <b/>
        <sz val="12"/>
        <color indexed="8"/>
        <rFont val="Times New Roman"/>
        <family val="1"/>
      </rPr>
      <t>19-3612c.</t>
    </r>
    <r>
      <rPr>
        <sz val="12"/>
        <color indexed="8"/>
        <rFont val="Times New Roman"/>
        <family val="1"/>
      </rPr>
      <t xml:space="preserve">  </t>
    </r>
    <r>
      <rPr>
        <b/>
        <sz val="12"/>
        <color indexed="8"/>
        <rFont val="Times New Roman"/>
        <family val="1"/>
      </rPr>
      <t xml:space="preserve">Fire protection reserve fund. </t>
    </r>
    <r>
      <rPr>
        <sz val="12"/>
        <color indexed="8"/>
        <rFont val="Times New Roman"/>
        <family val="1"/>
      </rPr>
      <t xml:space="preserve"> Fire district created under K.S.A. 19-3601 </t>
    </r>
    <r>
      <rPr>
        <i/>
        <sz val="12"/>
        <color indexed="8"/>
        <rFont val="Times New Roman"/>
        <family val="1"/>
      </rPr>
      <t>et seq.</t>
    </r>
    <r>
      <rPr>
        <sz val="12"/>
        <color indexed="8"/>
        <rFont val="Times New Roman"/>
        <family val="1"/>
      </rPr>
      <t xml:space="preserve"> may establish a special fund for the acquisition of fire-fighting equipment, apparatus or machinery or land and buildings to be used for fire-fighting purposes.</t>
    </r>
  </si>
  <si>
    <r>
      <t xml:space="preserve">K.S.A. </t>
    </r>
    <r>
      <rPr>
        <b/>
        <sz val="12"/>
        <color indexed="8"/>
        <rFont val="Times New Roman"/>
        <family val="1"/>
      </rPr>
      <t>19-3623e.</t>
    </r>
    <r>
      <rPr>
        <sz val="12"/>
        <color indexed="8"/>
        <rFont val="Times New Roman"/>
        <family val="1"/>
      </rPr>
      <t xml:space="preserve">  </t>
    </r>
    <r>
      <rPr>
        <b/>
        <sz val="12"/>
        <color indexed="8"/>
        <rFont val="Times New Roman"/>
        <family val="1"/>
      </rPr>
      <t xml:space="preserve">Fire protection reserve fund (Johnson County). </t>
    </r>
    <r>
      <rPr>
        <sz val="12"/>
        <color indexed="8"/>
        <rFont val="Times New Roman"/>
        <family val="1"/>
      </rPr>
      <t xml:space="preserve"> Fire district created under K.S.A. 19-3613 </t>
    </r>
    <r>
      <rPr>
        <i/>
        <sz val="12"/>
        <color indexed="8"/>
        <rFont val="Times New Roman"/>
        <family val="1"/>
      </rPr>
      <t>et seq.</t>
    </r>
    <r>
      <rPr>
        <sz val="12"/>
        <color indexed="8"/>
        <rFont val="Times New Roman"/>
        <family val="1"/>
      </rPr>
      <t xml:space="preserve"> may establish a special fund for the acquisition of fire-fighting equipment, apparatus or machinery or land and buildings to be used for fire-fighting purposes.</t>
    </r>
  </si>
  <si>
    <r>
      <t xml:space="preserve">K.S.A. </t>
    </r>
    <r>
      <rPr>
        <b/>
        <sz val="12"/>
        <color indexed="8"/>
        <rFont val="Times New Roman"/>
        <family val="1"/>
      </rPr>
      <t>24-136.  Drainage district special emergency fund.</t>
    </r>
    <r>
      <rPr>
        <sz val="12"/>
        <color indexed="8"/>
        <rFont val="Times New Roman"/>
        <family val="1"/>
      </rPr>
      <t xml:space="preserve">  Drainage district may establish a special emergency fund to pay the costs and expenses resulting from an emergency within the district.</t>
    </r>
  </si>
  <si>
    <r>
      <t>K.S.A. 12-16,102.  Transfer to employee benefits contribution trust fund.</t>
    </r>
    <r>
      <rPr>
        <sz val="12"/>
        <color indexed="8"/>
        <rFont val="Times New Roman"/>
        <family val="1"/>
      </rPr>
      <t xml:space="preserve">  May transfer to employee benefits trust fund from any source that may be lawfully utilized for the purposes stated in the ordinance or resolution creating such trust funds, including transfers from employee benefit funds established for other postemployment benefits.</t>
    </r>
  </si>
  <si>
    <r>
      <t>K.S.A. 19-3612c.</t>
    </r>
    <r>
      <rPr>
        <sz val="12"/>
        <color indexed="8"/>
        <rFont val="Times New Roman"/>
        <family val="1"/>
      </rPr>
      <t xml:space="preserve">  </t>
    </r>
    <r>
      <rPr>
        <b/>
        <sz val="12"/>
        <color indexed="8"/>
        <rFont val="Times New Roman"/>
        <family val="1"/>
      </rPr>
      <t>Transfer to and from special fire protection reserve fund.</t>
    </r>
    <r>
      <rPr>
        <sz val="12"/>
        <color indexed="8"/>
        <rFont val="Times New Roman"/>
        <family val="1"/>
      </rPr>
      <t xml:space="preserve">  Fire district may transfer annually from general fund to special fund to be used for purchase of fire-fighting equipment, apparatus, or machinery, or land and buildings.  Amount in special fund not needed may be retransferred to fire district general fund.</t>
    </r>
  </si>
  <si>
    <r>
      <t>K.S.A. 19-3623e.</t>
    </r>
    <r>
      <rPr>
        <sz val="12"/>
        <color indexed="8"/>
        <rFont val="Times New Roman"/>
        <family val="1"/>
      </rPr>
      <t xml:space="preserve">  </t>
    </r>
    <r>
      <rPr>
        <b/>
        <sz val="12"/>
        <color indexed="8"/>
        <rFont val="Times New Roman"/>
        <family val="1"/>
      </rPr>
      <t>Transfer to and from special fire protection reserve fund (Johnson County).</t>
    </r>
    <r>
      <rPr>
        <sz val="12"/>
        <color indexed="8"/>
        <rFont val="Times New Roman"/>
        <family val="1"/>
      </rPr>
      <t xml:space="preserve">  Fire district organized under K.S.A. 19-3613 </t>
    </r>
    <r>
      <rPr>
        <i/>
        <sz val="12"/>
        <color indexed="8"/>
        <rFont val="Times New Roman"/>
        <family val="1"/>
      </rPr>
      <t>et seq.</t>
    </r>
    <r>
      <rPr>
        <sz val="12"/>
        <color indexed="8"/>
        <rFont val="Times New Roman"/>
        <family val="1"/>
      </rPr>
      <t>, may transfer annually from the general fund to special fund to be used for purchase of fire-fighting equipment, apparatus, or machinery, or land and buildings.  Amount in special fund not needed may be retransferred to fire district general fund.</t>
    </r>
  </si>
  <si>
    <r>
      <t xml:space="preserve">K.S.A. </t>
    </r>
    <r>
      <rPr>
        <b/>
        <sz val="12"/>
        <color indexed="8"/>
        <rFont val="Times New Roman"/>
        <family val="1"/>
      </rPr>
      <t>24-136.</t>
    </r>
    <r>
      <rPr>
        <sz val="12"/>
        <color indexed="8"/>
        <rFont val="Times New Roman"/>
        <family val="1"/>
      </rPr>
      <t xml:space="preserve">  </t>
    </r>
    <r>
      <rPr>
        <b/>
        <sz val="12"/>
        <color indexed="8"/>
        <rFont val="Times New Roman"/>
        <family val="1"/>
      </rPr>
      <t>Transfer to special emergency fund.</t>
    </r>
    <r>
      <rPr>
        <sz val="12"/>
        <color indexed="8"/>
        <rFont val="Times New Roman"/>
        <family val="1"/>
      </rPr>
      <t xml:space="preserve">  Drainage district governing body may transfer, during an emergency, any surplus money from the drainage district general fund to a special emergency fund.</t>
    </r>
  </si>
  <si>
    <t>Non-Appropriated Balance</t>
  </si>
  <si>
    <t>Total Expenditure/Non-Appr Balance</t>
  </si>
  <si>
    <t>Tax Required</t>
  </si>
  <si>
    <t>Delinquent Comp Rate:</t>
  </si>
  <si>
    <t>Other</t>
  </si>
  <si>
    <t xml:space="preserve">  Other</t>
  </si>
  <si>
    <t>Desired Carryover Amount:</t>
  </si>
  <si>
    <t>Estimated Mill Rate Impact:</t>
  </si>
  <si>
    <t>The estimated value of one mill would be:</t>
  </si>
  <si>
    <t>Change in Ad Valorem Tax Revenue:</t>
  </si>
  <si>
    <t>What Mill Rate Would Be Desired?</t>
  </si>
  <si>
    <t>The following were changed to this spreadsheet on 10/27/10</t>
  </si>
  <si>
    <t>1. All pages removed the revision date</t>
  </si>
  <si>
    <t>2. All tax levy fund pages reduced the columns and revised the bottom of pages for see tabs</t>
  </si>
  <si>
    <t>4. Certificate tab change the 'Expenditure' heading by adding  'Budget Authority for Expenditures'</t>
  </si>
  <si>
    <t>5. Certificate tab add the year in the block for 'County Clerk Use Only'</t>
  </si>
  <si>
    <t>6. Gen tab added table for 'Projection of Cash Carryover'</t>
  </si>
  <si>
    <t>7. Gen tab added table for 'Desired Carryover'</t>
  </si>
  <si>
    <t>8. Gen tab redefine print que to not include tables</t>
  </si>
  <si>
    <t>9. Gen tab hid the comp for see tabs</t>
  </si>
  <si>
    <t>10. DebtService tab added table for 'Projected Carryover'</t>
  </si>
  <si>
    <t>11. DebtService tab redefine print que and hid comp for see tabs</t>
  </si>
  <si>
    <t>12. Levy page9 and page10 tab hid comp for see tabs</t>
  </si>
  <si>
    <t>13. Summ tab merged cells above the 'Township Officer' and center a name if used</t>
  </si>
  <si>
    <t>14. Summ tab changed proposed year expenditure column to 'Budget Authority (Includes Carryover)</t>
  </si>
  <si>
    <t>15. Summ tab added four tables to the right of the form</t>
  </si>
  <si>
    <t>16. Revised TransferStatutes and NonBudFunds tabs</t>
  </si>
  <si>
    <t>17. Added Mill Rate Computation tab</t>
  </si>
  <si>
    <t>18. Summ tab redefine print que</t>
  </si>
  <si>
    <t>19. Add Helpful Links tab</t>
  </si>
  <si>
    <t>20. Certificate page deleted state block</t>
  </si>
  <si>
    <t>21. Inputoth tab changed Actual Delinquency tax from -2 to -3</t>
  </si>
  <si>
    <t>22. All tax levy fund pages, changed 'Fund Page' to 'Fund Page for Funds with a Tax Levy'</t>
  </si>
  <si>
    <r>
      <t>16.  How to</t>
    </r>
    <r>
      <rPr>
        <u/>
        <sz val="12"/>
        <rFont val="Times New Roman"/>
        <family val="1"/>
      </rPr>
      <t xml:space="preserve"> Unprotect. </t>
    </r>
    <r>
      <rPr>
        <sz val="12"/>
        <rFont val="Times New Roman"/>
        <family val="1"/>
      </rPr>
      <t xml:space="preserve"> All pages within the budget spreadsheet are protected.  We protect the spreadsheets so that the links and formulas are kept in place.  The protection can be taken off to increase lines or add additional information to the individual spreadsheet. </t>
    </r>
  </si>
  <si>
    <t>16a.  If you have an older version of excel whereas 'Tools' is one of the excel heading. To remove the protection, place the cursor on the cell that is protected, go to the 'Tools' heading with your mouse and click on it, slide down where it shows 'Unprotect' and click on it.  The cell is now unprotected and you can make your changes.  Once all changes are completed for that spreadsheet, put the protection back on by clicking on 'Tools', slide down to 'Protect' and click on it, a box will appear and press the 'OK' button.  Now the spreadsheet is protected again.</t>
  </si>
  <si>
    <t>16b. If you have the newer version of excel with headings; Home, Insert, Page Layout, Formulas, etc. To unprotect the spreadsheet, move your mouse to the cell that is protected, click on heading 'Home', move mouse to heading 'Cells' and click on 'Format', slide the mouse down to 'Unprotect' under 'Protect' heading and click.  Now the cell is unprotected and you may make your changes. Once all changes are completed for that spreadsheet, put the protection back on by following the steps except the last step by selecting 'Protect' which a box will appear and press the 'Ok' button.  Now the protection is back on for that spreadsheet.</t>
  </si>
  <si>
    <t>3. Instruction tab added lines 13b (last year mill rate), 13c (desired mill rate), 11a(project carryover), 11b (Desired Carryover), 11d (project carryover Debt), and 16(protection)</t>
  </si>
  <si>
    <t>23. Budget Summary tab changed proposed column heading from 'Actual' to 'Estimate'</t>
  </si>
  <si>
    <t>The following were changed to this spreadsheet on 4/19/11</t>
  </si>
  <si>
    <t>1. Summ tab changed proposed year expenditure column to 'Budget Authority for Expenditures'</t>
  </si>
  <si>
    <t>2. Summ tab actual total computation amended</t>
  </si>
  <si>
    <r>
      <t xml:space="preserve">Computation of Example:  </t>
    </r>
    <r>
      <rPr>
        <sz val="11"/>
        <rFont val="Cambria"/>
        <family val="1"/>
      </rPr>
      <t>$312,000,000 (assessed valuation) / 1000 = $312,000 (value of one mill)</t>
    </r>
  </si>
  <si>
    <t>In this example, one mill for the municipality will generate $312,000 in taxes.</t>
  </si>
  <si>
    <t>$312,000,000 / 1000 = $312,000 (example #1)</t>
  </si>
  <si>
    <t>$50,000 / $312,000 = .160 mills (example #2)</t>
  </si>
  <si>
    <t>$11,500 (assessed value) x .160 (mill rate) / 1000 = $1.84</t>
  </si>
  <si>
    <t>The increase in property tax for a $100,000 home will be $1.84</t>
  </si>
  <si>
    <r>
      <rPr>
        <sz val="12"/>
        <color indexed="10"/>
        <rFont val="Times New Roman"/>
        <family val="1"/>
      </rPr>
      <t>Note:</t>
    </r>
    <r>
      <rPr>
        <sz val="12"/>
        <rFont val="Times New Roman"/>
        <family val="1"/>
      </rPr>
      <t xml:space="preserve"> The </t>
    </r>
    <r>
      <rPr>
        <u/>
        <sz val="12"/>
        <rFont val="Times New Roman"/>
        <family val="1"/>
      </rPr>
      <t>below amounts</t>
    </r>
    <r>
      <rPr>
        <sz val="12"/>
        <rFont val="Times New Roman"/>
        <family val="1"/>
      </rPr>
      <t xml:space="preserve"> are used to reflect actual taxes received due to delinquent taxes.  Put a percentage in the green box to compute the amount and link to the fund pages. This </t>
    </r>
    <r>
      <rPr>
        <sz val="12"/>
        <color indexed="10"/>
        <rFont val="Times New Roman"/>
        <family val="1"/>
      </rPr>
      <t>is not mandatory</t>
    </r>
    <r>
      <rPr>
        <sz val="12"/>
        <rFont val="Times New Roman"/>
        <family val="1"/>
      </rPr>
      <t xml:space="preserve"> and can be left blank.            </t>
    </r>
  </si>
  <si>
    <t xml:space="preserve">Amounts used in lieu of </t>
  </si>
  <si>
    <t>Delinquency % used in this budget will be shown on all fund pages with a tax levy**</t>
  </si>
  <si>
    <t xml:space="preserve">Must be at least 10 days between date published and hearing held. </t>
  </si>
  <si>
    <t>Official Name:</t>
  </si>
  <si>
    <t>Official Title:</t>
  </si>
  <si>
    <t>January</t>
  </si>
  <si>
    <t>February</t>
  </si>
  <si>
    <t>March</t>
  </si>
  <si>
    <t>April</t>
  </si>
  <si>
    <t>May</t>
  </si>
  <si>
    <t>June</t>
  </si>
  <si>
    <t>July</t>
  </si>
  <si>
    <t>August</t>
  </si>
  <si>
    <t>September</t>
  </si>
  <si>
    <t>October</t>
  </si>
  <si>
    <t>November</t>
  </si>
  <si>
    <t>December</t>
  </si>
  <si>
    <t xml:space="preserve">ALLOCATION OF MOTOR, RECREATIONAL ,16/20M VEHICLE TAXES </t>
  </si>
  <si>
    <t>Type</t>
  </si>
  <si>
    <t>Debt</t>
  </si>
  <si>
    <t>Items</t>
  </si>
  <si>
    <t>Purchased</t>
  </si>
  <si>
    <t>Email:</t>
  </si>
  <si>
    <t>_____________________________  _____________________________</t>
  </si>
  <si>
    <t>Allocation MVT, RVT,16/20M Vehicle Tax</t>
  </si>
  <si>
    <t>Expenditures Must Be Changed by:</t>
  </si>
  <si>
    <t>Mill Rate Comparison</t>
  </si>
  <si>
    <t>The following were changed to this spreadsheet on 12/29/11</t>
  </si>
  <si>
    <r>
      <t xml:space="preserve">2b. Next to the last year Ad Valorem Taxes column, column added, 'Amounts used in lieu of last year ad valorem taxes'. If you would like to adjust the previous year ad valorem due to delinquency in taxes to show a more actual amount of taxes received, you can key in the percentage </t>
    </r>
    <r>
      <rPr>
        <u/>
        <sz val="12"/>
        <rFont val="Times New Roman"/>
        <family val="1"/>
      </rPr>
      <t>in the green box</t>
    </r>
    <r>
      <rPr>
        <sz val="12"/>
        <rFont val="Times New Roman"/>
        <family val="1"/>
      </rPr>
      <t xml:space="preserve"> which will calculate new ad valorem taxes to be used for the current budgeted year.  The new amounts will be </t>
    </r>
    <r>
      <rPr>
        <u/>
        <sz val="12"/>
        <rFont val="Times New Roman"/>
        <family val="1"/>
      </rPr>
      <t>linked</t>
    </r>
    <r>
      <rPr>
        <sz val="12"/>
        <rFont val="Times New Roman"/>
        <family val="1"/>
      </rPr>
      <t xml:space="preserve"> to the applicable tax levy fund pages. This is </t>
    </r>
    <r>
      <rPr>
        <sz val="12"/>
        <color indexed="10"/>
        <rFont val="Times New Roman"/>
        <family val="1"/>
      </rPr>
      <t>not required</t>
    </r>
    <r>
      <rPr>
        <sz val="12"/>
        <rFont val="Times New Roman"/>
        <family val="1"/>
      </rPr>
      <t xml:space="preserve"> to be used and the original ad valorem taxes will be linked to the applicable fund pages. </t>
    </r>
  </si>
  <si>
    <t>1. Instructions tab, added #2b for adjusting ad valorem taxes</t>
  </si>
  <si>
    <t xml:space="preserve">3. The information entered into the Input Other (inputOth) worksheet is obtained from the County Clerk, County Treasurer, and the budget from two years ago (the year for actual year column for the current year budget) .  After the information has been entered, please verify the data is correct. </t>
  </si>
  <si>
    <t>3a.  Enter the Computation of Delinquency information. Please note that K.S.A. 79-2930 states that such allowance shall not exceed by more than 5% the percentage of delinquency for the preceding tax year.  Such allowance is not mandatory, but may be used if the municipality wishes.</t>
  </si>
  <si>
    <t>3b. If the special district chooses not to use the delinquency rate for all tax levy funds, then the special district must delete the rate from those funds. First step, go to the fund tab of the fund not requiring the delinquency rate, take the protection off the sheet by going to the 'Tools' and scrolling down to 'Protect' slide to right to 'Unprotect' and press enter. Next, go to the delinquency rate cell and press 'delete' key and put the protection back on by going to 'Tools' and scrolling down to 'Protect Sheet' and press the 'OK' button. Go to the next fund tab and complete the same steps.</t>
  </si>
  <si>
    <t>2. Instructions tab, added #3, 3a, and 3b concerning inputoth tab</t>
  </si>
  <si>
    <r>
      <t xml:space="preserve">4a. </t>
    </r>
    <r>
      <rPr>
        <b/>
        <sz val="12"/>
        <rFont val="Times New Roman"/>
        <family val="1"/>
      </rPr>
      <t>Note:</t>
    </r>
    <r>
      <rPr>
        <sz val="12"/>
        <rFont val="Times New Roman"/>
        <family val="1"/>
      </rPr>
      <t xml:space="preserve"> There must be at least 10 days between when the Notice of Budget Hearing is printed and when the hearing is to be held. To be in </t>
    </r>
    <r>
      <rPr>
        <u/>
        <sz val="12"/>
        <rFont val="Times New Roman"/>
        <family val="1"/>
      </rPr>
      <t>compliance</t>
    </r>
    <r>
      <rPr>
        <sz val="12"/>
        <rFont val="Times New Roman"/>
        <family val="1"/>
      </rPr>
      <t xml:space="preserve"> with K.S.A. 79-2929, it's </t>
    </r>
    <r>
      <rPr>
        <b/>
        <sz val="12"/>
        <rFont val="Times New Roman"/>
        <family val="1"/>
      </rPr>
      <t>critical</t>
    </r>
    <r>
      <rPr>
        <sz val="12"/>
        <rFont val="Times New Roman"/>
        <family val="1"/>
      </rPr>
      <t xml:space="preserve"> to have at least 10 days between publication and hearing, but also to provide the date, time, and location of the hearing.</t>
    </r>
  </si>
  <si>
    <t>4b. Once a date has been entered in the Date block, the following statement will appear: 'Latest date for notice to be published in your newspaper'.  Please ensure to take into consideration as to when your newspaper is published when arriving at the hearing date.</t>
  </si>
  <si>
    <t>3. Instructions tab, changed #4 for adding name of official for Budget Summary page</t>
  </si>
  <si>
    <t>4. Instructions tab, added #4b for new max published date on 'inputBudSum' tab</t>
  </si>
  <si>
    <t xml:space="preserve">4. The 'inputBudSum' tab is used to place information on the Budget Summary. On this tab you will need to key in the following information: Name of Person presenting the budget and title, date the budget hearing will be held, time of the hearing, location of the budget hearing, and a place whereas the taxpayers can obtain a copy of the budget.  </t>
  </si>
  <si>
    <t>6a. Note: 2007 Supplement for K.S.A. 79-2925b provides debt service to include repayment of the principle and interest upon bonded indebtedness, temporary notes, and no-fund warrants. If the county wants to include debts for temporary notes and no-fund warrants (shown on a separate fund page and not included with debt service fund page) the Computation to Determine Limit Page lines 2 and 14 will have to be changed to include these debts in the max levy computation. In order to do this, the protection must be taken off of the page and the amounts changed. You are not required to add the additional debts into the computation of the max levy amount.</t>
  </si>
  <si>
    <t>5. Instructions tab, changed #6a to reflect about temporary notes and no-fund warrants</t>
  </si>
  <si>
    <t>7.  Motor Vehicle Allocation(mvalloc) are completed from information entered on the input pages (inputpryr and inputoth).  If figures appear to be wrong, do not correct the figures from here, but go to the input pages. The computed tables are linked to the appropriate funds.</t>
  </si>
  <si>
    <t>6. Instructions tab, changed #7 to remove slider column and computations</t>
  </si>
  <si>
    <t>11a. On all tax levy fund pages, we have placed 'Projected Carryover' for the proposed budgeted year.   The carryover table provides a little insight as what the projected cash might be using figures from the budget being submitted.  Please keep in mind that the figures used are only estimates and if the actual receipts or expenditures vary, then the project cash carryover will be affected.  Be advised that the delinquent taxes are not included in the projected carryover as they have a major impact on the  'Desired Carryover' table.</t>
  </si>
  <si>
    <r>
      <t xml:space="preserve">11b. On all tax levy fund page, we have placed 'Desired Carryover' which you can place a desired carryover amount and the table will show the mill rate impact along with the expenditure adjustments required to reach the desired carryover.  </t>
    </r>
    <r>
      <rPr>
        <sz val="12"/>
        <color indexed="10"/>
        <rFont val="Times New Roman"/>
        <family val="1"/>
      </rPr>
      <t>Note:</t>
    </r>
    <r>
      <rPr>
        <sz val="12"/>
        <rFont val="Times New Roman"/>
        <family val="1"/>
      </rPr>
      <t xml:space="preserve"> if a </t>
    </r>
    <r>
      <rPr>
        <sz val="12"/>
        <color indexed="10"/>
        <rFont val="Times New Roman"/>
        <family val="1"/>
      </rPr>
      <t>delinquency rate is used</t>
    </r>
    <r>
      <rPr>
        <sz val="12"/>
        <rFont val="Times New Roman"/>
        <family val="1"/>
      </rPr>
      <t>, the table might have you do several adjustments to get the desired result or close to the desire amount.</t>
    </r>
  </si>
  <si>
    <t>11c. On all tax levy fund pages, we have placed 'Mill Rate Comparison' table so you can compare the propose fund mill rate to the current fund mill rate and compare the total proposed mill rate to the total current mill rate. These figures are provided to assist with the determining appropriate mill rate for the proposed budgeted year.</t>
  </si>
  <si>
    <r>
      <t xml:space="preserve">11d. Each tax levy fund will have an expenditure for the neighborhood revitalization.  You will only need to input the rebate amounts for the </t>
    </r>
    <r>
      <rPr>
        <b/>
        <u/>
        <sz val="12"/>
        <rFont val="Times New Roman"/>
        <family val="1"/>
      </rPr>
      <t>actual and current year</t>
    </r>
    <r>
      <rPr>
        <sz val="12"/>
        <rFont val="Times New Roman"/>
        <family val="1"/>
      </rPr>
      <t xml:space="preserve">.  The proposed budget year amount will be computed for you. Please see step 12 for instructions for the neighborhood revitalization rebate for the proposed budget year. </t>
    </r>
  </si>
  <si>
    <r>
      <t xml:space="preserve">10.  Statement of Conditional Lease, Lease-Purchases and Certificate of Participation (debt) must be completed for all transactions which at the end of the least period the item will be owned by the special district.  Principal Balance Due for the actual year is shown on the Budget Summary page and prior years are linked from the input page (inputpryr). </t>
    </r>
    <r>
      <rPr>
        <b/>
        <sz val="12"/>
        <rFont val="Times New Roman"/>
        <family val="1"/>
      </rPr>
      <t>If the special district does not have any leases, then on the first line enter 'none'.</t>
    </r>
  </si>
  <si>
    <t xml:space="preserve">13b. The table 'Estimated Value Of One Mill' to show what 1 mill rate would generate in dollars for the municipality.  </t>
  </si>
  <si>
    <r>
      <t xml:space="preserve">13c. Tables 'What The Mill Rate The Same As' and 'Impact On Keeping The Same Mill Rate', that shows the impact if the previous mill rate is used for the proposed budgeted year.  To achieve this mill rate, the tax levy fund expenditures will need to be changed by the amount shown.  Depending upon the number of tax levy funds involved, the change can be made to one fund, combination of funds, or all of the tax levy fund expenditures.  </t>
    </r>
    <r>
      <rPr>
        <sz val="12"/>
        <color indexed="10"/>
        <rFont val="Times New Roman"/>
        <family val="1"/>
      </rPr>
      <t>Note:</t>
    </r>
    <r>
      <rPr>
        <sz val="12"/>
        <rFont val="Times New Roman"/>
        <family val="1"/>
      </rPr>
      <t xml:space="preserve"> If a delinquency rate is used on the tax levy fund pages, the table might have you do several adjustments to get the desired result or close to the desire amount. </t>
    </r>
    <r>
      <rPr>
        <sz val="12"/>
        <color indexed="10"/>
        <rFont val="Times New Roman"/>
        <family val="1"/>
      </rPr>
      <t>Also please note</t>
    </r>
    <r>
      <rPr>
        <sz val="12"/>
        <rFont val="Times New Roman"/>
        <family val="1"/>
      </rPr>
      <t xml:space="preserve">, this table </t>
    </r>
    <r>
      <rPr>
        <sz val="12"/>
        <color indexed="10"/>
        <rFont val="Times New Roman"/>
        <family val="1"/>
      </rPr>
      <t>is not</t>
    </r>
    <r>
      <rPr>
        <sz val="12"/>
        <rFont val="Times New Roman"/>
        <family val="1"/>
      </rPr>
      <t xml:space="preserve"> required to be used, but as a tool to assist in budgeting. </t>
    </r>
  </si>
  <si>
    <t xml:space="preserve">13d. The table 'What Mill Rate Would Be Desired', whereas a municipality can create a desired mill rate.  If a municipality has future plans to make a large purchase, project, or just would like a little more unencumbered cash balance, this table will show the amount of ad valorem taxes needed to reach its needs and amount of adjustments to the tax levy fund expenditures to reach this desired mill rate.  This table could also be used to see the impact if the municipality would like to lower the mill rate. To use this table, simply enter in the green area the desired mill rate.  Note: If a delinquency rate used on the tax levy fund pages, the table might have you do several adjustments to get the desired result or close to the desire amount. Also please note, this table is not required to be used, but as a tool to assist in budgeting. </t>
  </si>
  <si>
    <r>
      <t xml:space="preserve">13e. Before printing, review the form to ensure all the information is provided and the figures are correct. Print the page, have official sign it, and take to the local newspaper for printing. For those municipalities that are electronically sending the summary to the newspaper, you can type in the official name before sending.  Please note:  Signing the document is </t>
    </r>
    <r>
      <rPr>
        <b/>
        <sz val="12"/>
        <rFont val="Times New Roman"/>
        <family val="1"/>
      </rPr>
      <t>desired</t>
    </r>
    <r>
      <rPr>
        <sz val="12"/>
        <rFont val="Times New Roman"/>
        <family val="1"/>
      </rPr>
      <t xml:space="preserve">, but not signing </t>
    </r>
    <r>
      <rPr>
        <u/>
        <sz val="12"/>
        <rFont val="Times New Roman"/>
        <family val="1"/>
      </rPr>
      <t>will not</t>
    </r>
    <r>
      <rPr>
        <sz val="12"/>
        <rFont val="Times New Roman"/>
        <family val="1"/>
      </rPr>
      <t xml:space="preserve"> cause the municipality to reprint.</t>
    </r>
  </si>
  <si>
    <t>Should this be fixed before we adopt the budget?</t>
  </si>
  <si>
    <t xml:space="preserve">Yes.  The budget law mandates that fund expenditures </t>
  </si>
  <si>
    <t>shall balance with anticipated revenue.  A fund ending</t>
  </si>
  <si>
    <t>cash balance should end either in $0 or a positive cash</t>
  </si>
  <si>
    <t>balance.</t>
  </si>
  <si>
    <t>How do I fix the violation?</t>
  </si>
  <si>
    <t xml:space="preserve">The negative cash balance can be remedied by increasing </t>
  </si>
  <si>
    <t xml:space="preserve">the anticipated receipts or by reducing the proposed </t>
  </si>
  <si>
    <t>expenditures, or a combination of the two.</t>
  </si>
  <si>
    <t>Is there a benefit to having a positive cash balance?</t>
  </si>
  <si>
    <t xml:space="preserve">If the municipality governing body chooses to adopt a </t>
  </si>
  <si>
    <t xml:space="preserve">budget whereby the no levy fund has a positive ending </t>
  </si>
  <si>
    <t>balance, that's okay.  But, we recommend that the fund</t>
  </si>
  <si>
    <t>be budgeted to end with a $0 balance.</t>
  </si>
  <si>
    <t>Why?  Well, remember that no levy funds do not result in a</t>
  </si>
  <si>
    <t>levy of property tax dollars.  So, there is no impact to the</t>
  </si>
  <si>
    <t>property taxpayer from a budget which utilizes all anticipated</t>
  </si>
  <si>
    <t>revenue in the upcoming year.</t>
  </si>
  <si>
    <t>The advantage to the municipality of budgeting the no levy fund</t>
  </si>
  <si>
    <t>to end the budget year with a $0 balance is that it provides</t>
  </si>
  <si>
    <t>the municipality with maximum spending authority.  In</t>
  </si>
  <si>
    <t>the event the municipality is faced with unanticipated</t>
  </si>
  <si>
    <t>spending during the budget year it will not need to amend</t>
  </si>
  <si>
    <t>its budget to do so.</t>
  </si>
  <si>
    <t>Of course, by budgeting to $0 the municipality does not have</t>
  </si>
  <si>
    <t xml:space="preserve">to spend down to $0, but the authority to do so </t>
  </si>
  <si>
    <t>without a budget amendment is there in the event that a need</t>
  </si>
  <si>
    <t>to do so should arise.</t>
  </si>
  <si>
    <t xml:space="preserve">5. The information contained on the Certificate Page (cert) is the result of links from the fund and input pages .  If there is incorrect information on the Certificate Page, do not correct the Certification Page, but rather correct the fund or input page that links the information to the Certificate Page.  If you can not correct the error, please call us for assistance. </t>
  </si>
  <si>
    <r>
      <t>5a. The Certificate page has a statement 'Is a Resolution required?' which will either show '</t>
    </r>
    <r>
      <rPr>
        <sz val="12"/>
        <color indexed="10"/>
        <rFont val="Times New Roman"/>
        <family val="1"/>
      </rPr>
      <t>Yes</t>
    </r>
    <r>
      <rPr>
        <sz val="12"/>
        <rFont val="Times New Roman"/>
        <family val="1"/>
      </rPr>
      <t>' or '</t>
    </r>
    <r>
      <rPr>
        <sz val="12"/>
        <color indexed="10"/>
        <rFont val="Times New Roman"/>
        <family val="1"/>
      </rPr>
      <t>N</t>
    </r>
    <r>
      <rPr>
        <sz val="12"/>
        <rFont val="Times New Roman"/>
        <family val="1"/>
      </rPr>
      <t>o'. This statement compares the Certificate total Ad Valorem Tax to Computation to Determine Limit line 14. If a '</t>
    </r>
    <r>
      <rPr>
        <sz val="12"/>
        <color indexed="10"/>
        <rFont val="Times New Roman"/>
        <family val="1"/>
      </rPr>
      <t>Yes</t>
    </r>
    <r>
      <rPr>
        <sz val="12"/>
        <rFont val="Times New Roman"/>
        <family val="1"/>
      </rPr>
      <t>' appears then a resolution is required to be completed and attached to the budget. No action is required if a '</t>
    </r>
    <r>
      <rPr>
        <sz val="12"/>
        <color indexed="10"/>
        <rFont val="Times New Roman"/>
        <family val="1"/>
      </rPr>
      <t>No</t>
    </r>
    <r>
      <rPr>
        <sz val="12"/>
        <rFont val="Times New Roman"/>
        <family val="1"/>
      </rPr>
      <t>' appears.</t>
    </r>
  </si>
  <si>
    <t>6. The majority of information on the Computation to Determine Limit Page (computation) comes from data on the Input Pages (inputpryr and inputOth) and Debt Service Page (DebtService). If there is incorrect information on the Computation Page, please correct the source of the information from either the Input Page or Debt Service Page. If you can not correct the error, please call us for assistance.</t>
  </si>
  <si>
    <t>6b. Print the Resolution page (resolution) if the max levy is exceeded.  Complete the printed resolution and ensure to attached it to the budget.</t>
  </si>
  <si>
    <t>8. The Schedule of Transfers (transfers) is completed from the individual completed fund pages and ensure to provide the statute that authorizes the transfer.</t>
  </si>
  <si>
    <t>8a. The adjusted totals of transfers are link to the Budget Summary page 'Less: Transfers'.</t>
  </si>
  <si>
    <t xml:space="preserve">8c. TransferStatutes tab provides statute reference for transfers which are not already identified.
</t>
  </si>
  <si>
    <t xml:space="preserve">Comanche County </t>
  </si>
  <si>
    <t>Crowm Hill Cemetery</t>
  </si>
  <si>
    <t>Richard Beeley</t>
  </si>
  <si>
    <t>Commissioner's Room</t>
  </si>
  <si>
    <t xml:space="preserve">Riachard Beeley's Residence </t>
  </si>
  <si>
    <t>1:00 p.m.</t>
  </si>
  <si>
    <t xml:space="preserve">Sale of Lots </t>
  </si>
  <si>
    <t>Openings &amp; Closings</t>
  </si>
  <si>
    <t>Donations</t>
  </si>
  <si>
    <t>Reimbursements</t>
  </si>
  <si>
    <t xml:space="preserve">Interest Income </t>
  </si>
  <si>
    <t xml:space="preserve">Operations </t>
  </si>
  <si>
    <t>Mowing Wages</t>
  </si>
  <si>
    <t>Bank Charges, Accounting Fees, Office Supp.</t>
  </si>
  <si>
    <t>Qtrly IRS Estimates</t>
  </si>
  <si>
    <t>Ins., Workers Comp/Commercial</t>
  </si>
  <si>
    <t>195,91</t>
  </si>
  <si>
    <t>Wages</t>
  </si>
  <si>
    <t xml:space="preserve">CMS/Propane </t>
  </si>
  <si>
    <t>Opening Graves</t>
  </si>
  <si>
    <t>Fuel &amp; Repairs</t>
  </si>
  <si>
    <t>Worker's/Commercial</t>
  </si>
  <si>
    <t>Legal Notice/Accting Fees</t>
  </si>
  <si>
    <t>Engrave Final Dates</t>
  </si>
  <si>
    <r>
      <t>11h. All no-tax levy fund pages for the proposed budget year will have an edit on the unencumbered cash balance. If the cash balance is negative, then the block turns red and statement '</t>
    </r>
    <r>
      <rPr>
        <sz val="12"/>
        <color indexed="10"/>
        <rFont val="Times New Roman"/>
        <family val="1"/>
      </rPr>
      <t>See Tab E</t>
    </r>
    <r>
      <rPr>
        <sz val="12"/>
        <rFont val="Times New Roman"/>
        <family val="1"/>
      </rPr>
      <t xml:space="preserve">' will appear. </t>
    </r>
  </si>
  <si>
    <r>
      <t xml:space="preserve">11i. Each fund page has a 'Miscellaneous' receipt and expenditure line item.  Once an amount has been entered into the block for actual/current/proposed columns, the amount will be compared with either total expenditures or total receipts to determine if it exceeds the 10% Rule for K.S.A. 79-2927.  If the amount </t>
    </r>
    <r>
      <rPr>
        <b/>
        <u/>
        <sz val="12"/>
        <rFont val="Times New Roman"/>
        <family val="1"/>
      </rPr>
      <t>exceeds</t>
    </r>
    <r>
      <rPr>
        <sz val="12"/>
        <rFont val="Times New Roman"/>
        <family val="1"/>
      </rPr>
      <t xml:space="preserve"> the 10% Rule, the block will turn red, the amount bolded, and a red statement will appear '</t>
    </r>
    <r>
      <rPr>
        <sz val="12"/>
        <color indexed="10"/>
        <rFont val="Times New Roman"/>
        <family val="1"/>
      </rPr>
      <t>Exceed 10% Rule</t>
    </r>
    <r>
      <rPr>
        <sz val="12"/>
        <rFont val="Times New Roman"/>
        <family val="1"/>
      </rPr>
      <t>'.  In order to remove the statement and return the block to normal, you must reduce the amount to either 10% or less.</t>
    </r>
  </si>
  <si>
    <r>
      <t>11j. The non-budgeted pages (nonbud) holds 5 non-budgeted funds.  The non-budgeted funds are only required to show the actual year receipts and expenditures. The expenditures total will only be linked to the Budget Summary page and Certificate page will list the fund name (non-budgeted funds). Normally, the unencumbered cash balance should end with a positive cash balance, but if it ends with a negative, then the spreadsheet will indicate the negative balance by having '</t>
    </r>
    <r>
      <rPr>
        <sz val="12"/>
        <color indexed="10"/>
        <rFont val="Times New Roman"/>
        <family val="1"/>
      </rPr>
      <t>See Tab B</t>
    </r>
    <r>
      <rPr>
        <sz val="12"/>
        <rFont val="Times New Roman"/>
        <family val="1"/>
      </rPr>
      <t xml:space="preserve">' under the unencumbered cash balance.  </t>
    </r>
  </si>
  <si>
    <t>7. Instructions tab, changed #13b to reflect all tax levy pages with 'Projected Carryover' table</t>
  </si>
  <si>
    <t>8. Instructions tab, changed #13c to reflect all tax levy pages with 'Desired Carryover' and warning about delinquency rate</t>
  </si>
  <si>
    <t>9. Instructions tab, added #13d for last year mill rate, proposed total mill rate, and last year total mill rate</t>
  </si>
  <si>
    <t>10. Instructions tab, changed #13e added that not signing the Budget Summary page will not require to be reprinted</t>
  </si>
  <si>
    <t xml:space="preserve">11. InputPrYr tab, added column for adjusting ad valorem taxes to reflect a better picture of actual taxes received, allow a rate to be used to compute the new amount, and links the new amounts to the appropriate fund page, if used, otherwise used the original amounts </t>
  </si>
  <si>
    <t>12. InputOth tab, section for Computation of Delinquency, change to % from rate and provided example, link to all tax levy fund page will show as %  vs rate</t>
  </si>
  <si>
    <t>16. Added Neighborhood Revitalization table and linked to the tax levy fund pages.</t>
  </si>
  <si>
    <t>17. Added Neighborhood Revitalization expenditure to all tax levy fund pages.</t>
  </si>
  <si>
    <t>18. Added Neighborhood Revitalization rebate page number to the table of contents on the Certificate page.</t>
  </si>
  <si>
    <t>22. Added 'miscellaneous' category to the receipt/expenditure for all fund pages and set error message.</t>
  </si>
  <si>
    <t>23. Added to the instruction about correct the error message for the miscellaneous.</t>
  </si>
  <si>
    <t>General Instructions</t>
  </si>
  <si>
    <t>Special District Computer Spreadsheet Preparation</t>
  </si>
  <si>
    <t>Input sheet for Special District budget form</t>
  </si>
  <si>
    <t>Fund Names:</t>
  </si>
  <si>
    <t>Statute</t>
  </si>
  <si>
    <t>General</t>
  </si>
  <si>
    <t>Fund name for all funds with a tax levy:</t>
  </si>
  <si>
    <t>Other (non-tax levy) fund names:</t>
  </si>
  <si>
    <t>Total</t>
  </si>
  <si>
    <t>Motor Vehicle Tax Estimate</t>
  </si>
  <si>
    <t>Recreational Vehicle Tax Estimate</t>
  </si>
  <si>
    <t>certify that: (1) the hearing mentioned in the attached publication was held;</t>
  </si>
  <si>
    <t>(2) after the Budget Hearing this budget was duly approved and adopted</t>
  </si>
  <si>
    <t xml:space="preserve"> </t>
  </si>
  <si>
    <t>County</t>
  </si>
  <si>
    <t>Page</t>
  </si>
  <si>
    <t>Clerk's</t>
  </si>
  <si>
    <t>Table of Contents:</t>
  </si>
  <si>
    <t>No.</t>
  </si>
  <si>
    <t>Expenditure</t>
  </si>
  <si>
    <t>Use Only</t>
  </si>
  <si>
    <t>Fund</t>
  </si>
  <si>
    <t>K.S.A.</t>
  </si>
  <si>
    <t>x</t>
  </si>
  <si>
    <t>Governing Body</t>
  </si>
  <si>
    <t>County Clerk</t>
  </si>
  <si>
    <t>Amount</t>
  </si>
  <si>
    <t>Adopted Budget</t>
  </si>
  <si>
    <t>Ad Valorem Tax</t>
  </si>
  <si>
    <t>Delinquent Tax</t>
  </si>
  <si>
    <t>Motor Vehicle Tax</t>
  </si>
  <si>
    <t>Recreational Vehicle Tax</t>
  </si>
  <si>
    <t>In Lieu of Taxes</t>
  </si>
  <si>
    <t>Interest on Idle Funds</t>
  </si>
  <si>
    <t>Total Receipts</t>
  </si>
  <si>
    <t>Resources Available:</t>
  </si>
  <si>
    <t>Expenditures:</t>
  </si>
  <si>
    <t>Total Expenditures</t>
  </si>
  <si>
    <t>%</t>
  </si>
  <si>
    <t>Page No.</t>
  </si>
  <si>
    <t>MVT</t>
  </si>
  <si>
    <t>RVT</t>
  </si>
  <si>
    <t>County Treas MVT Estimate</t>
  </si>
  <si>
    <t>County Treas RVT Estimate</t>
  </si>
  <si>
    <t>MVT Factor</t>
  </si>
  <si>
    <t>RVT Factor</t>
  </si>
  <si>
    <t>Actual</t>
  </si>
  <si>
    <t>FUND</t>
  </si>
  <si>
    <t>Expenditures</t>
  </si>
  <si>
    <t>Total Tax Levied</t>
  </si>
  <si>
    <t>Outstanding Indebtedness,</t>
  </si>
  <si>
    <t>G.O. Bonds</t>
  </si>
  <si>
    <t>Revenue Bonds</t>
  </si>
  <si>
    <t xml:space="preserve">     Total</t>
  </si>
  <si>
    <t xml:space="preserve">  *Tax rates are expressed in mills.</t>
  </si>
  <si>
    <t>Date</t>
  </si>
  <si>
    <t xml:space="preserve">   Amount Due</t>
  </si>
  <si>
    <t>of</t>
  </si>
  <si>
    <t>Rate</t>
  </si>
  <si>
    <t xml:space="preserve">  Date Due</t>
  </si>
  <si>
    <t>Issue</t>
  </si>
  <si>
    <t>Issued</t>
  </si>
  <si>
    <t>Term</t>
  </si>
  <si>
    <t>Interest</t>
  </si>
  <si>
    <t>Principal</t>
  </si>
  <si>
    <t>Payments</t>
  </si>
  <si>
    <t xml:space="preserve">  Contract</t>
  </si>
  <si>
    <t>Contract</t>
  </si>
  <si>
    <t>Financed</t>
  </si>
  <si>
    <t>Due</t>
  </si>
  <si>
    <t>(Months)</t>
  </si>
  <si>
    <t>To print the spreadsheets, you can either print one sheet or all of the sheets at once.</t>
  </si>
  <si>
    <t>Special District Instructions</t>
  </si>
  <si>
    <t xml:space="preserve">on the budget forms in the appropriate locations.  If any of the numbers are wrong, change  </t>
  </si>
  <si>
    <t>CERTIFICATE</t>
  </si>
  <si>
    <t>STATEMENT OF CONDITIONAL LEASE-PURCHASE AND CERTIFICATE OF PARTICIPATION*</t>
  </si>
  <si>
    <t>FUND PAGE FOR FUNDS WITH A TAX LEVY</t>
  </si>
  <si>
    <t>FUND PAGE FOR FUNDS WITH NO TAX LEVY</t>
  </si>
  <si>
    <t>NOTICE OF BUDGET HEARING</t>
  </si>
  <si>
    <t>BUDGET SUMMARY</t>
  </si>
  <si>
    <t>STATEMENT OF INDEBTEDNESS</t>
  </si>
  <si>
    <t xml:space="preserve">Total </t>
  </si>
  <si>
    <t>16/20M Veh</t>
  </si>
  <si>
    <t>County Treas 16/20 M Vehicle Tax Estimate</t>
  </si>
  <si>
    <t>16/20M Factor</t>
  </si>
  <si>
    <t>Amount of Levy</t>
  </si>
  <si>
    <t xml:space="preserve"> 1.</t>
  </si>
  <si>
    <t>+</t>
  </si>
  <si>
    <t>$</t>
  </si>
  <si>
    <t xml:space="preserve"> 2.</t>
  </si>
  <si>
    <t>-</t>
  </si>
  <si>
    <t xml:space="preserve"> 4.</t>
  </si>
  <si>
    <t xml:space="preserve"> 5.</t>
  </si>
  <si>
    <t>5a.</t>
  </si>
  <si>
    <t>5b.</t>
  </si>
  <si>
    <t>5c.</t>
  </si>
  <si>
    <t>6.</t>
  </si>
  <si>
    <t>7.</t>
  </si>
  <si>
    <t>8.</t>
  </si>
  <si>
    <t>9.</t>
  </si>
  <si>
    <t>10.</t>
  </si>
  <si>
    <t>11.</t>
  </si>
  <si>
    <t>12.</t>
  </si>
  <si>
    <t>(Use Only if &gt; 0)</t>
  </si>
  <si>
    <t>16/20M Vehicle Tax</t>
  </si>
  <si>
    <t xml:space="preserve">The governing body of </t>
  </si>
  <si>
    <t>Computation of Delinquency</t>
  </si>
  <si>
    <t>Balance On</t>
  </si>
  <si>
    <t>Tax Levy Excluding Debt Service</t>
  </si>
  <si>
    <t>Increase in Personal Property (5a minus 5b)</t>
  </si>
  <si>
    <r>
      <t xml:space="preserve">Total Valuation Adjustment </t>
    </r>
    <r>
      <rPr>
        <sz val="12"/>
        <rFont val="Times New Roman"/>
        <family val="1"/>
      </rPr>
      <t>(Sum of 4, 5c, 6)</t>
    </r>
  </si>
  <si>
    <t>Total Valuation less Valuation Adjustment (8 minus 7)</t>
  </si>
  <si>
    <t>Factor for Increase (7 divided by 9)</t>
  </si>
  <si>
    <t>Amount of Increase (10 times 3)</t>
  </si>
  <si>
    <t xml:space="preserve"> 3.</t>
  </si>
  <si>
    <t>adopt a resolution to exceed this limit and attach a copy to this budget.</t>
  </si>
  <si>
    <t>13.</t>
  </si>
  <si>
    <t>14.</t>
  </si>
  <si>
    <t>Maximum Tax Levy, excluding debt service, without Resolution (3 plus 11)</t>
  </si>
  <si>
    <t>Maximum levy, including debt service, without a Resolution (12 plus 13)</t>
  </si>
  <si>
    <t>Unencumbered Cash Balance Jan 1</t>
  </si>
  <si>
    <t>Unencumbered Cash Balance Dec 31</t>
  </si>
  <si>
    <t>Receipts:</t>
  </si>
  <si>
    <t xml:space="preserve"> Enter information in all areas that are green if they apply to the budget you are preparing.</t>
  </si>
  <si>
    <t xml:space="preserve">The sheet names are in ( ) beside the form name.   </t>
  </si>
  <si>
    <t>The light shaded areas are protected because these contain formulas which should not be changed.  Any errors within a yellow area will need to be corrected on the input sheet or where the information is entered for that formula.</t>
  </si>
  <si>
    <t>Enter Special District Name (Can be Longer than green cell)</t>
  </si>
  <si>
    <t xml:space="preserve">Outstanding </t>
  </si>
  <si>
    <t>(Beginning Principal)</t>
  </si>
  <si>
    <t>Totals</t>
  </si>
  <si>
    <t>Lease Pur. Princ.</t>
  </si>
  <si>
    <t>County Clerk's Use Only</t>
  </si>
  <si>
    <t>RESOLUTION NO.__________________</t>
  </si>
  <si>
    <t>___________________________________.</t>
  </si>
  <si>
    <t>(Attach a signed copy to the budget)</t>
  </si>
  <si>
    <t>SPECIAL DISTRICT RESOLUTION</t>
  </si>
  <si>
    <t xml:space="preserve"> , Chair/President</t>
  </si>
  <si>
    <t xml:space="preserve"> , Member</t>
  </si>
  <si>
    <t>, Member</t>
  </si>
  <si>
    <t>Statement of Indebt. &amp; Lease/Purchase</t>
  </si>
  <si>
    <t>Schedule of Transfers</t>
  </si>
  <si>
    <t>Current</t>
  </si>
  <si>
    <t>Proposed</t>
  </si>
  <si>
    <t xml:space="preserve">1.  The used of this spreadsheet is designed for a special district having only one county support. </t>
  </si>
  <si>
    <t>Whereas, budgeting, taxing and service level decisions for all district services are the responsibility of the district board; and</t>
  </si>
  <si>
    <t>Whereas, the cost of provision of these services continues to increase.</t>
  </si>
  <si>
    <t xml:space="preserve">Enter year being budgeted (YYYY) </t>
  </si>
  <si>
    <t xml:space="preserve">  G.O. Bonds</t>
  </si>
  <si>
    <t xml:space="preserve">  Revenue Bonds</t>
  </si>
  <si>
    <t xml:space="preserve">  Lease Purchase Principal</t>
  </si>
  <si>
    <t xml:space="preserve">The input for the following comes directly from </t>
  </si>
  <si>
    <t>We, the undersigned, officers of</t>
  </si>
  <si>
    <t>10-113</t>
  </si>
  <si>
    <t>In Lieu of Tax (IRB)</t>
  </si>
  <si>
    <t>LAVTR</t>
  </si>
  <si>
    <t>Transfers</t>
  </si>
  <si>
    <t>Amount for</t>
  </si>
  <si>
    <t>Authorized by</t>
  </si>
  <si>
    <t>From:</t>
  </si>
  <si>
    <t>To:</t>
  </si>
  <si>
    <t xml:space="preserve"> Statute</t>
  </si>
  <si>
    <t>Adjusted Totals</t>
  </si>
  <si>
    <t xml:space="preserve">  Jan 1,</t>
  </si>
  <si>
    <t>Less: Transfers</t>
  </si>
  <si>
    <t>Net Expenditures</t>
  </si>
  <si>
    <t>Assessed Valuation</t>
  </si>
  <si>
    <t>16\20 M Vehicle Tax</t>
  </si>
  <si>
    <t xml:space="preserve">   </t>
  </si>
  <si>
    <r>
      <t>**</t>
    </r>
    <r>
      <rPr>
        <b/>
        <u/>
        <sz val="12"/>
        <rFont val="Times New Roman"/>
        <family val="1"/>
      </rPr>
      <t>Note</t>
    </r>
    <r>
      <rPr>
        <sz val="12"/>
        <rFont val="Times New Roman"/>
        <family val="1"/>
      </rPr>
      <t>: The delinquency rate can be up to 5% more than the actual delinquency rate from the previous year.</t>
    </r>
  </si>
  <si>
    <t>xxxxxxxxxxxxxxxx</t>
  </si>
  <si>
    <t>Whereas, K.S.A. 79-2925b provides that a resolution be adopted if property taxes levied to finance the</t>
  </si>
  <si>
    <t>taxation of 1) new improvements to real property; 2) increased personal property valuation, other than increased valuation of oil and gas leaseholds and mobile homes; and 3) property which has changed in use during the past year, or with regard to revenue produced for the purpose of repaying the principal of and interest upon bonded indebtedness, temporary notes, or no-fund warrants; and</t>
  </si>
  <si>
    <t>The following were changed to this spreadsheet on 8/06/2007</t>
  </si>
  <si>
    <t>The blue areas indicated where the information comes from to complete the section input.</t>
  </si>
  <si>
    <t>General Obligation:</t>
  </si>
  <si>
    <t>Total G.O.</t>
  </si>
  <si>
    <t>Revenue Bonds:</t>
  </si>
  <si>
    <t>Total Revenue</t>
  </si>
  <si>
    <t>Other:</t>
  </si>
  <si>
    <t>Total Other</t>
  </si>
  <si>
    <t>1. All dates are linked to the inputpryr page</t>
  </si>
  <si>
    <t>2. Instruction page changed the POC, electronic submission, blue area, and transfers expended</t>
  </si>
  <si>
    <t>3. Split the input page to inputpryr and inputoth</t>
  </si>
  <si>
    <t>5. Added the Outstanding Indebtedness info to the input page and link to Budget Summary page</t>
  </si>
  <si>
    <t>6. Added note about Delinquency Rate on input and changed all computation on the fund pages</t>
  </si>
  <si>
    <t>7. Added debt links to the Computation Determine Limit</t>
  </si>
  <si>
    <t>8. Transfers page added links to the Budget Summary page and allows for adjustments to the transfers</t>
  </si>
  <si>
    <t xml:space="preserve">10. Hard coded the Bond &amp; Interest fund to the Certificate and Budget Summary pages. Also made the </t>
  </si>
  <si>
    <t>Bond &amp; Interest its own fund page</t>
  </si>
  <si>
    <t>11. Budget Summary added transfers adjustments and linked them along with the indebtedness info</t>
  </si>
  <si>
    <t>Note:  All amounts are to be entered in as whole numbers only.</t>
  </si>
  <si>
    <t>Attest: _________________,</t>
  </si>
  <si>
    <t>Tax Rate*</t>
  </si>
  <si>
    <t>Resolution</t>
  </si>
  <si>
    <t>Is a Resolution required?</t>
  </si>
  <si>
    <t>4. Moved the mil rates from prior budget to Clerk info section</t>
  </si>
  <si>
    <t>9. Added links from the indebtedness page to the Budget Summary page by separating bonds</t>
  </si>
  <si>
    <t>12. Added "is a resolution required" statement with either yes or no automatic shown on Certificate</t>
  </si>
  <si>
    <t>13. moved the assisted blocks from center to left side on Certificate</t>
  </si>
  <si>
    <t>Budget Summary</t>
  </si>
  <si>
    <t>Total Tax Rates</t>
  </si>
  <si>
    <t xml:space="preserve">          the information on this input sheet.</t>
  </si>
  <si>
    <t>Enter the following information from the sources shown.  This information will be entered</t>
  </si>
  <si>
    <t>Outstanding Indebtedness, January 1:</t>
  </si>
  <si>
    <t>14. Added to instructions about non-appropriated funds limit of 5%.</t>
  </si>
  <si>
    <t>TOTAL</t>
  </si>
  <si>
    <t>Funds</t>
  </si>
  <si>
    <t>Budget Authority</t>
  </si>
  <si>
    <t xml:space="preserve">expenditure amounts should reflect the amended </t>
  </si>
  <si>
    <t>expenditure amounts.</t>
  </si>
  <si>
    <t>20. Added to all budgeted fund pages the budget authority for the actual year, budget violation, and cash violation.</t>
  </si>
  <si>
    <t>21. Added instruction on the addition for item 20.</t>
  </si>
  <si>
    <t>All figures should be input as whole numbers only.</t>
  </si>
  <si>
    <t>Miscellaneous</t>
  </si>
  <si>
    <t>Neighborhood Revitalization Rebate</t>
  </si>
  <si>
    <t>2a. Dates for the entire budget workbook is controlled by the year entered into the "Enter year being budgeted (YYYY)" field.  If you find a date that is not correct for the budget being submitted, please contact us for assistance.</t>
  </si>
  <si>
    <t>Red areas are for notes or indicate a problem area that will need possible corrective action taken.</t>
  </si>
  <si>
    <t xml:space="preserve">Submitting the Budget </t>
  </si>
  <si>
    <r>
      <t xml:space="preserve">Budgets are required to be sent to the County Clerk </t>
    </r>
    <r>
      <rPr>
        <b/>
        <sz val="12"/>
        <rFont val="Times New Roman"/>
        <family val="1"/>
      </rPr>
      <t>by August 25</t>
    </r>
    <r>
      <rPr>
        <sz val="12"/>
        <rFont val="Times New Roman"/>
        <family val="1"/>
      </rPr>
      <t xml:space="preserve"> of each year. </t>
    </r>
  </si>
  <si>
    <t>24. Expanded on the preparation of budget note 12 for instructions for the Notice of Budget Hearing.</t>
  </si>
  <si>
    <t>25. Added to instruction for submission that deadline for submission to clerk Aug 25.</t>
  </si>
  <si>
    <t>Enter County Name followed by 'County'</t>
  </si>
  <si>
    <t>Page No. 6</t>
  </si>
  <si>
    <t xml:space="preserve">The Special District spreadsheet is designed with having only one county providing taxing support. </t>
  </si>
  <si>
    <t>26. Added 'excluding oil, gas, and mobile homes' to lines 9 and 11 on Clerks budget info on tab inputoth.</t>
  </si>
  <si>
    <t>***If you are merely leasing/renting with no intent to purchase, do not list--such transactions are not lease-purchases.</t>
  </si>
  <si>
    <t xml:space="preserve">NON-BUDGETED FUNDS </t>
  </si>
  <si>
    <t>Non-Budgeted Funds</t>
  </si>
  <si>
    <t>(1) Fund Name:</t>
  </si>
  <si>
    <t>(2) Fund Name:</t>
  </si>
  <si>
    <t>(3) Fund Name:</t>
  </si>
  <si>
    <t>(4) Fund Name:</t>
  </si>
  <si>
    <t>(5) Fund Name:</t>
  </si>
  <si>
    <t xml:space="preserve">Unencumbered </t>
  </si>
  <si>
    <t>Cash Balance Jan 1</t>
  </si>
  <si>
    <t>Cash Balance Dec 31</t>
  </si>
  <si>
    <t>**</t>
  </si>
  <si>
    <t>** Note: These two block figures should agree.</t>
  </si>
  <si>
    <t>Non-budgeted funds:</t>
  </si>
  <si>
    <t xml:space="preserve">Proposed Budget </t>
  </si>
  <si>
    <t>Current Year</t>
  </si>
  <si>
    <t xml:space="preserve">Prior Year </t>
  </si>
  <si>
    <t xml:space="preserve">Current Year </t>
  </si>
  <si>
    <t>Prior Year</t>
  </si>
  <si>
    <t>The following were changed to this spreadsheet on 10/23/2008</t>
  </si>
  <si>
    <t>1. Input tab (inputPrYr) added column for the current year expenditures.</t>
  </si>
  <si>
    <t>2. Added to all tax levy fund pages the miscellaneous receipt for the proposed year comparison takes into account the ad valorem taxes for the 10% Rule.</t>
  </si>
  <si>
    <t xml:space="preserve">3. All tax levy funds and no tax levy funds fund pages made the following changes: </t>
  </si>
  <si>
    <t>3a. Made the total expenditures block for the actual and current year to turn 'Red' if violation occurs.</t>
  </si>
  <si>
    <r>
      <t>3b. Unencumbered Cash for the actual year turn '</t>
    </r>
    <r>
      <rPr>
        <sz val="12"/>
        <color indexed="10"/>
        <rFont val="Times New Roman"/>
        <family val="1"/>
      </rPr>
      <t>Red</t>
    </r>
    <r>
      <rPr>
        <sz val="12"/>
        <rFont val="Times New Roman"/>
        <family val="1"/>
      </rPr>
      <t>' if violation occurs.</t>
    </r>
  </si>
  <si>
    <r>
      <t xml:space="preserve">3c. In statements about violations, if no violation occurs, then a red </t>
    </r>
    <r>
      <rPr>
        <sz val="12"/>
        <color indexed="10"/>
        <rFont val="Times New Roman"/>
        <family val="1"/>
      </rPr>
      <t>'No'</t>
    </r>
    <r>
      <rPr>
        <sz val="12"/>
        <rFont val="Times New Roman"/>
        <family val="1"/>
      </rPr>
      <t xml:space="preserve"> will appear.</t>
    </r>
  </si>
  <si>
    <t>4. All tax levy fund pages abbreviated the non-appropriated, total expenditures/non-appropriated, and delinquency computation rate.</t>
  </si>
  <si>
    <r>
      <t xml:space="preserve">5. All no tax levy fund pages added to the proposed column unencumbered cash balance block will turn </t>
    </r>
    <r>
      <rPr>
        <sz val="12"/>
        <color indexed="10"/>
        <rFont val="Times New Roman"/>
        <family val="1"/>
      </rPr>
      <t>red</t>
    </r>
    <r>
      <rPr>
        <sz val="12"/>
        <rFont val="Times New Roman"/>
        <family val="1"/>
      </rPr>
      <t xml:space="preserve"> and below will say in red '</t>
    </r>
    <r>
      <rPr>
        <sz val="12"/>
        <color indexed="10"/>
        <rFont val="Times New Roman"/>
        <family val="1"/>
      </rPr>
      <t>Budget Violation</t>
    </r>
    <r>
      <rPr>
        <sz val="12"/>
        <rFont val="Times New Roman"/>
        <family val="1"/>
      </rPr>
      <t>' if the cash balance is negative.</t>
    </r>
  </si>
  <si>
    <t>6. Neighborhood Revitalization (nhood) took off the protection for the page number and made the estimate rebate round the figures to whole dollars.</t>
  </si>
  <si>
    <t xml:space="preserve">7. Instruction page have changed all reference for Bond &amp; Interest to Debt Service. </t>
  </si>
  <si>
    <t>8. Added to the instruction page lines 11a - 11c to provide a little more insight for the Neighborhood Revitalization rebate.</t>
  </si>
  <si>
    <t>9. Added instruction line 2b to explain how to delete delinquency rate from tax levy fund pages.</t>
  </si>
  <si>
    <t>10. Changed the Bond &amp; Interest tab (B&amp;I) to Debt Service tab (DebtService).</t>
  </si>
  <si>
    <t>11. Changed the revised date on all pages changed.</t>
  </si>
  <si>
    <t>12. Added instruction lines 9g to 9l for additional edits for budget authority.</t>
  </si>
  <si>
    <t>13. Added Non-budgeted fund form and link to certificate and summary pages.</t>
  </si>
  <si>
    <t>This spreadsheet has tabs for General Fund (gen), Debt Service (DebtService), two tax levy pages (levypage8), two non-budgeted levy pages (nolevypage9), one non-budgeted pages which holds five funds (NonBud), Budget Summary page (summ), and Resolution page (Resolution).</t>
  </si>
  <si>
    <t xml:space="preserve">K.S.A. 79-2926 requires budgets to be submited by electronic means. Contact your County Clerk for the specify instruction as to submission of the budget.  </t>
  </si>
  <si>
    <t>The following were changed to this spreadsheet on 2/23/09</t>
  </si>
  <si>
    <t>1. Instruction under Submitting of Budget ….required electronic submission.</t>
  </si>
  <si>
    <t>2. Input other tab line 39 change from Budget Summary to Budget Certificate.</t>
  </si>
  <si>
    <t>Debt Service</t>
  </si>
  <si>
    <t>The following were changed to this spreadsheet on 3/19/09</t>
  </si>
  <si>
    <t>2. Debt Service page change the fund name from Bond &amp; Interest to Debt Service</t>
  </si>
  <si>
    <t>3. Budget Summary change the fund name from Bond &amp; Interest to Debt Service</t>
  </si>
  <si>
    <r>
      <rPr>
        <b/>
        <sz val="12"/>
        <color indexed="10"/>
        <rFont val="Times New Roman"/>
        <family val="1"/>
      </rPr>
      <t>*</t>
    </r>
    <r>
      <rPr>
        <b/>
        <sz val="12"/>
        <rFont val="Times New Roman"/>
        <family val="1"/>
      </rPr>
      <t>If amended, then use the amended figures.</t>
    </r>
    <r>
      <rPr>
        <b/>
        <sz val="12"/>
        <color indexed="10"/>
        <rFont val="Times New Roman"/>
        <family val="1"/>
      </rPr>
      <t>*</t>
    </r>
  </si>
  <si>
    <r>
      <rPr>
        <sz val="12"/>
        <color indexed="10"/>
        <rFont val="Times New Roman"/>
        <family val="1"/>
      </rPr>
      <t>*</t>
    </r>
    <r>
      <rPr>
        <sz val="12"/>
        <rFont val="Times New Roman"/>
        <family val="1"/>
      </rPr>
      <t>Expenditures</t>
    </r>
    <r>
      <rPr>
        <sz val="12"/>
        <color indexed="10"/>
        <rFont val="Times New Roman"/>
        <family val="1"/>
      </rPr>
      <t>*</t>
    </r>
  </si>
  <si>
    <t>1. InputPryr tab added line a16 'If amend…..'</t>
  </si>
  <si>
    <t>2. InputPryr tab change Bond &amp; Interest to Debt Service</t>
  </si>
  <si>
    <t>3. InputOth tab change Bond &amp; Interest to Debt Service</t>
  </si>
  <si>
    <t>4. Levypage8 tab cell C31, C32, E31 added rule</t>
  </si>
  <si>
    <t xml:space="preserve">5. Nolevypage9 tab cell C31, C32, D31 add rule </t>
  </si>
  <si>
    <t>6. Mvalloc tab change cells C11-14 from D to E reference inputpryr tab for ad valorem tax</t>
  </si>
  <si>
    <t>1. Certificate page change Bond &amp; Interest to Debt Service and Adopted to Adopted</t>
  </si>
  <si>
    <t>15. Added warning "Exceeds 5%" on all fund pages for the non-appropriated balance.</t>
  </si>
  <si>
    <t>19. Added Slider on the Vehicle Allocation table and linked to fund pages.</t>
  </si>
  <si>
    <t>The following were changed to this spreadsheet on 9/25/09</t>
  </si>
  <si>
    <t>Non-Budgeted Funds – Special Districts</t>
  </si>
  <si>
    <r>
      <t xml:space="preserve">K.S.A. </t>
    </r>
    <r>
      <rPr>
        <b/>
        <sz val="12"/>
        <color indexed="8"/>
        <rFont val="Times New Roman"/>
        <family val="1"/>
      </rPr>
      <t>12-110d.</t>
    </r>
    <r>
      <rPr>
        <sz val="12"/>
        <color indexed="8"/>
        <rFont val="Times New Roman"/>
        <family val="1"/>
      </rPr>
      <t xml:space="preserve">  </t>
    </r>
    <r>
      <rPr>
        <b/>
        <sz val="12"/>
        <color indexed="8"/>
        <rFont val="Times New Roman"/>
        <family val="1"/>
      </rPr>
      <t xml:space="preserve">Special ambulance or emergency medical service equipment fund. </t>
    </r>
    <r>
      <rPr>
        <sz val="12"/>
        <color indexed="8"/>
        <rFont val="Times New Roman"/>
        <family val="1"/>
      </rPr>
      <t xml:space="preserve"> The governing body may create a special reserve fund for replacement of ambulance or emergency medical service equipment.</t>
    </r>
  </si>
  <si>
    <r>
      <t xml:space="preserve">K.S.A. </t>
    </r>
    <r>
      <rPr>
        <b/>
        <sz val="12"/>
        <color indexed="8"/>
        <rFont val="Times New Roman"/>
        <family val="1"/>
      </rPr>
      <t>12-631p</t>
    </r>
    <r>
      <rPr>
        <sz val="12"/>
        <color indexed="8"/>
        <rFont val="Times New Roman"/>
        <family val="1"/>
      </rPr>
      <t xml:space="preserve">.  </t>
    </r>
    <r>
      <rPr>
        <b/>
        <sz val="12"/>
        <color indexed="8"/>
        <rFont val="Times New Roman"/>
        <family val="1"/>
      </rPr>
      <t>Sewerage system reserve fund.</t>
    </r>
    <r>
      <rPr>
        <sz val="12"/>
        <color indexed="8"/>
        <rFont val="Times New Roman"/>
        <family val="1"/>
      </rPr>
      <t xml:space="preserve">  The governing body may create a sewer system reserve fund for the future maintenance and operation of its system and for the construction of improvements and expansions to such system.</t>
    </r>
  </si>
  <si>
    <r>
      <t xml:space="preserve">K.S.A. </t>
    </r>
    <r>
      <rPr>
        <b/>
        <sz val="12"/>
        <color indexed="8"/>
        <rFont val="Times New Roman"/>
        <family val="1"/>
      </rPr>
      <t>12-1258.</t>
    </r>
    <r>
      <rPr>
        <sz val="12"/>
        <color indexed="8"/>
        <rFont val="Times New Roman"/>
        <family val="1"/>
      </rPr>
      <t xml:space="preserve">  </t>
    </r>
    <r>
      <rPr>
        <b/>
        <sz val="12"/>
        <color indexed="8"/>
        <rFont val="Times New Roman"/>
        <family val="1"/>
      </rPr>
      <t>Public library capital improvement fund.</t>
    </r>
    <r>
      <rPr>
        <sz val="12"/>
        <color indexed="8"/>
        <rFont val="Times New Roman"/>
        <family val="1"/>
      </rPr>
      <t xml:space="preserve">  Authorizes a library board to transfer annually up to 10% of the general fund to a capital improvement fund, to be used for improving, furnishing, equipping, remodeling, or making additions to the library.</t>
    </r>
  </si>
  <si>
    <r>
      <t xml:space="preserve">K.S.A. </t>
    </r>
    <r>
      <rPr>
        <b/>
        <sz val="12"/>
        <color indexed="8"/>
        <rFont val="Times New Roman"/>
        <family val="1"/>
      </rPr>
      <t>12-1663.</t>
    </r>
    <r>
      <rPr>
        <sz val="12"/>
        <color indexed="8"/>
        <rFont val="Times New Roman"/>
        <family val="1"/>
      </rPr>
      <t xml:space="preserve">  </t>
    </r>
    <r>
      <rPr>
        <b/>
        <sz val="12"/>
        <color indexed="8"/>
        <rFont val="Times New Roman"/>
        <family val="1"/>
      </rPr>
      <t>Federal grants (e.g. FEMA).</t>
    </r>
    <r>
      <rPr>
        <sz val="12"/>
        <color indexed="8"/>
        <rFont val="Times New Roman"/>
        <family val="1"/>
      </rPr>
      <t xml:space="preserve">  Federal aid intended to be used alone or with funds of the public agency may be expended without regard to budget limitations and over, above or outside the budget.</t>
    </r>
  </si>
  <si>
    <r>
      <t xml:space="preserve">K.S.A. </t>
    </r>
    <r>
      <rPr>
        <b/>
        <sz val="12"/>
        <color indexed="8"/>
        <rFont val="Times New Roman"/>
        <family val="1"/>
      </rPr>
      <t>12-16,111.</t>
    </r>
    <r>
      <rPr>
        <sz val="12"/>
        <color indexed="8"/>
        <rFont val="Times New Roman"/>
        <family val="1"/>
      </rPr>
      <t xml:space="preserve">  </t>
    </r>
    <r>
      <rPr>
        <b/>
        <sz val="12"/>
        <color indexed="8"/>
        <rFont val="Times New Roman"/>
        <family val="1"/>
      </rPr>
      <t>State loans and grants.</t>
    </r>
    <r>
      <rPr>
        <sz val="12"/>
        <color indexed="8"/>
        <rFont val="Times New Roman"/>
        <family val="1"/>
      </rPr>
      <t xml:space="preserve">  State loans or grants may be expended without regard to budget limitations and over, above or outside the budget.</t>
    </r>
  </si>
  <si>
    <r>
      <t xml:space="preserve">K.S.A. </t>
    </r>
    <r>
      <rPr>
        <b/>
        <sz val="12"/>
        <color indexed="8"/>
        <rFont val="Times New Roman"/>
        <family val="1"/>
      </rPr>
      <t>12-17,118.</t>
    </r>
    <r>
      <rPr>
        <sz val="12"/>
        <color indexed="8"/>
        <rFont val="Times New Roman"/>
        <family val="1"/>
      </rPr>
      <t xml:space="preserve">  N</t>
    </r>
    <r>
      <rPr>
        <b/>
        <sz val="12"/>
        <color indexed="8"/>
        <rFont val="Times New Roman"/>
        <family val="1"/>
      </rPr>
      <t>eighborhood revitalization fund.</t>
    </r>
    <r>
      <rPr>
        <sz val="12"/>
        <color indexed="8"/>
        <rFont val="Times New Roman"/>
        <family val="1"/>
      </rPr>
      <t xml:space="preserve">  After adoption of a neighborhood revitalization plan the governing body shall create a neighborhood revitalization fund.</t>
    </r>
  </si>
  <si>
    <r>
      <t xml:space="preserve">K.S.A. </t>
    </r>
    <r>
      <rPr>
        <b/>
        <sz val="12"/>
        <color indexed="8"/>
        <rFont val="Times New Roman"/>
        <family val="1"/>
      </rPr>
      <t>17-1336a.</t>
    </r>
    <r>
      <rPr>
        <sz val="12"/>
        <color indexed="8"/>
        <rFont val="Times New Roman"/>
        <family val="1"/>
      </rPr>
      <t xml:space="preserve">  </t>
    </r>
    <r>
      <rPr>
        <b/>
        <sz val="12"/>
        <color indexed="8"/>
        <rFont val="Times New Roman"/>
        <family val="1"/>
      </rPr>
      <t>Cemetery district special road and machinery funds.</t>
    </r>
    <r>
      <rPr>
        <sz val="12"/>
        <color indexed="8"/>
        <rFont val="Times New Roman"/>
        <family val="1"/>
      </rPr>
      <t xml:space="preserve">  Authorizes a cemetery district board to transfer all or any portion of any surpluses of the moneys derived from any tax levy existing at the end of a budget year to a special fund for the completion of road improvements.</t>
    </r>
    <r>
      <rPr>
        <b/>
        <sz val="12"/>
        <color indexed="8"/>
        <rFont val="Times New Roman"/>
        <family val="1"/>
      </rPr>
      <t xml:space="preserve">  </t>
    </r>
    <r>
      <rPr>
        <sz val="12"/>
        <color indexed="8"/>
        <rFont val="Times New Roman"/>
        <family val="1"/>
      </rPr>
      <t>No more than one such transfer shall be made.</t>
    </r>
  </si>
  <si>
    <t>And, such board may transfer any surpluses of the money derived from any tax levy existing at the end of a budget year to a special fund to be used to purchase machinery and equipment for cemetery maintenance.  The amount of such transfer shall not exceed 25% of the annual budget.</t>
  </si>
  <si>
    <r>
      <t xml:space="preserve">K.S.A. </t>
    </r>
    <r>
      <rPr>
        <b/>
        <sz val="12"/>
        <color indexed="8"/>
        <rFont val="Times New Roman"/>
        <family val="1"/>
      </rPr>
      <t>75-6110.</t>
    </r>
    <r>
      <rPr>
        <sz val="12"/>
        <color indexed="8"/>
        <rFont val="Times New Roman"/>
        <family val="1"/>
      </rPr>
      <t xml:space="preserve">  </t>
    </r>
    <r>
      <rPr>
        <b/>
        <sz val="12"/>
        <color indexed="8"/>
        <rFont val="Times New Roman"/>
        <family val="1"/>
      </rPr>
      <t>Special liability expense fund.</t>
    </r>
    <r>
      <rPr>
        <sz val="12"/>
        <color indexed="8"/>
        <rFont val="Times New Roman"/>
        <family val="1"/>
      </rPr>
      <t xml:space="preserve">  Authorizes the creation of special liability expense fund for payment of costs and claims against the municipality or its employees.</t>
    </r>
  </si>
  <si>
    <r>
      <t xml:space="preserve">K.S.A. </t>
    </r>
    <r>
      <rPr>
        <b/>
        <sz val="12"/>
        <color indexed="8"/>
        <rFont val="Times New Roman"/>
        <family val="1"/>
      </rPr>
      <t>79-1808.</t>
    </r>
    <r>
      <rPr>
        <sz val="12"/>
        <color indexed="8"/>
        <rFont val="Times New Roman"/>
        <family val="1"/>
      </rPr>
      <t xml:space="preserve">  </t>
    </r>
    <r>
      <rPr>
        <b/>
        <sz val="12"/>
        <color indexed="8"/>
        <rFont val="Times New Roman"/>
        <family val="1"/>
      </rPr>
      <t>Special assessment fund.</t>
    </r>
    <r>
      <rPr>
        <sz val="12"/>
        <color indexed="8"/>
        <rFont val="Times New Roman"/>
        <family val="1"/>
      </rPr>
      <t xml:space="preserve">  Proceeds of tax levy to raise funds to pay special assessments against municipality-owned property and, for cities and counties, to pay debt service, shall be placed in a special assessment fund.</t>
    </r>
  </si>
  <si>
    <r>
      <t xml:space="preserve">K.S.A. </t>
    </r>
    <r>
      <rPr>
        <b/>
        <sz val="12"/>
        <color indexed="8"/>
        <rFont val="Times New Roman"/>
        <family val="1"/>
      </rPr>
      <t>79-2925.</t>
    </r>
    <r>
      <rPr>
        <sz val="12"/>
        <color indexed="8"/>
        <rFont val="Times New Roman"/>
        <family val="1"/>
      </rPr>
      <t xml:space="preserve">  </t>
    </r>
    <r>
      <rPr>
        <b/>
        <sz val="12"/>
        <color indexed="8"/>
        <rFont val="Times New Roman"/>
        <family val="1"/>
      </rPr>
      <t>Budgets exempt from the state budget law.</t>
    </r>
    <r>
      <rPr>
        <sz val="12"/>
        <color indexed="8"/>
        <rFont val="Times New Roman"/>
        <family val="1"/>
      </rPr>
      <t xml:space="preserve">  The state budget law does not apply to any money received as a gift or bequest.</t>
    </r>
  </si>
  <si>
    <t>7. Added tab 'TransferStatutes</t>
  </si>
  <si>
    <t>8. Added tab 'NonBudFunds'</t>
  </si>
  <si>
    <t>9. Added 'See Tab A - E' for violations</t>
  </si>
  <si>
    <t>10. Instruction tab added 10e and 7c, and changed 10c, 10d, and 10h</t>
  </si>
  <si>
    <t>11. Changed each fund page taking out the 'Yes' and 'No' and replacing with See Tab for violation</t>
  </si>
  <si>
    <t>12. Nhood tab changed the Net valuation to July 1</t>
  </si>
  <si>
    <t>Transfer Statutes – Special Districts</t>
  </si>
  <si>
    <r>
      <t>K.S.A. 10-117a</t>
    </r>
    <r>
      <rPr>
        <sz val="12"/>
        <rFont val="Times New Roman"/>
        <family val="1"/>
      </rPr>
      <t xml:space="preserve">.  </t>
    </r>
    <r>
      <rPr>
        <b/>
        <sz val="12"/>
        <rFont val="Times New Roman"/>
        <family val="1"/>
      </rPr>
      <t>Transfer from debt service fund.</t>
    </r>
    <r>
      <rPr>
        <sz val="12"/>
        <rFont val="Times New Roman"/>
        <family val="1"/>
      </rPr>
      <t xml:space="preserve">  W</t>
    </r>
    <r>
      <rPr>
        <sz val="12"/>
        <color indexed="8"/>
        <rFont val="Times New Roman"/>
        <family val="1"/>
      </rPr>
      <t>henever all bond issues have been completely retired the governing body may transfer to the general fund the unexpended balance in the debt service fund.</t>
    </r>
  </si>
  <si>
    <r>
      <t xml:space="preserve">K.S.A. </t>
    </r>
    <r>
      <rPr>
        <b/>
        <sz val="12"/>
        <color indexed="8"/>
        <rFont val="Times New Roman"/>
        <family val="1"/>
      </rPr>
      <t>12-110d</t>
    </r>
    <r>
      <rPr>
        <sz val="12"/>
        <color indexed="8"/>
        <rFont val="Times New Roman"/>
        <family val="1"/>
      </rPr>
      <t xml:space="preserve">.  </t>
    </r>
    <r>
      <rPr>
        <b/>
        <sz val="12"/>
        <color indexed="8"/>
        <rFont val="Times New Roman"/>
        <family val="1"/>
      </rPr>
      <t xml:space="preserve">Transfer to special ambulance or emergency medical service equipment fund. </t>
    </r>
    <r>
      <rPr>
        <sz val="12"/>
        <color indexed="8"/>
        <rFont val="Times New Roman"/>
        <family val="1"/>
      </rPr>
      <t xml:space="preserve"> May transfer annually any funds received from a tax levy specifically authorized to be made for ambulance or emergency medical service, to a special reserve fund for replacement of ambulance or emergency medical service equipment.</t>
    </r>
  </si>
  <si>
    <r>
      <t xml:space="preserve">K.S.A. </t>
    </r>
    <r>
      <rPr>
        <b/>
        <sz val="12"/>
        <color indexed="8"/>
        <rFont val="Times New Roman"/>
        <family val="1"/>
      </rPr>
      <t>12-631o</t>
    </r>
    <r>
      <rPr>
        <sz val="12"/>
        <color indexed="8"/>
        <rFont val="Times New Roman"/>
        <family val="1"/>
      </rPr>
      <t xml:space="preserve">.  </t>
    </r>
    <r>
      <rPr>
        <b/>
        <sz val="12"/>
        <color indexed="8"/>
        <rFont val="Times New Roman"/>
        <family val="1"/>
      </rPr>
      <t xml:space="preserve">Transfer to sewerage reserve fund.  </t>
    </r>
    <r>
      <rPr>
        <sz val="12"/>
        <color indexed="8"/>
        <rFont val="Times New Roman"/>
        <family val="1"/>
      </rPr>
      <t>Authorizes the transfer of sewer system revenue to a sewer system reserve fund for the future maintenance and operation of its system and for the construction of improvements and expansions to such system.</t>
    </r>
  </si>
  <si>
    <r>
      <t xml:space="preserve">K.S.A. </t>
    </r>
    <r>
      <rPr>
        <b/>
        <sz val="12"/>
        <color indexed="8"/>
        <rFont val="Times New Roman"/>
        <family val="1"/>
      </rPr>
      <t>12-631p.</t>
    </r>
    <r>
      <rPr>
        <sz val="12"/>
        <color indexed="8"/>
        <rFont val="Times New Roman"/>
        <family val="1"/>
      </rPr>
      <t xml:space="preserve">  </t>
    </r>
    <r>
      <rPr>
        <b/>
        <sz val="12"/>
        <color indexed="8"/>
        <rFont val="Times New Roman"/>
        <family val="1"/>
      </rPr>
      <t>Transfer from sewerage system reserve fund.</t>
    </r>
    <r>
      <rPr>
        <sz val="12"/>
        <color indexed="8"/>
        <rFont val="Times New Roman"/>
        <family val="1"/>
      </rPr>
      <t xml:space="preserve">  Allows the retransfer of sewerage system reserve fund dollars to the fund from which it was originally transferred.</t>
    </r>
  </si>
  <si>
    <r>
      <t xml:space="preserve">K.S.A. </t>
    </r>
    <r>
      <rPr>
        <b/>
        <sz val="12"/>
        <color indexed="8"/>
        <rFont val="Times New Roman"/>
        <family val="1"/>
      </rPr>
      <t>12-1258.</t>
    </r>
    <r>
      <rPr>
        <sz val="12"/>
        <color indexed="8"/>
        <rFont val="Times New Roman"/>
        <family val="1"/>
      </rPr>
      <t xml:space="preserve">  </t>
    </r>
    <r>
      <rPr>
        <b/>
        <sz val="12"/>
        <color indexed="8"/>
        <rFont val="Times New Roman"/>
        <family val="1"/>
      </rPr>
      <t>Public library capital improvement fund.</t>
    </r>
    <r>
      <rPr>
        <sz val="12"/>
        <color indexed="8"/>
        <rFont val="Times New Roman"/>
        <family val="1"/>
      </rPr>
      <t xml:space="preserve">  Authorizes an annual transfer of up to 10% of the general fund to a capital improvement fund, and a retransfer to the general fund of such amounts not needed for capital improvement purposes.</t>
    </r>
  </si>
  <si>
    <r>
      <t>K.S.A. 12-17,118</t>
    </r>
    <r>
      <rPr>
        <sz val="12"/>
        <color indexed="8"/>
        <rFont val="Times New Roman"/>
        <family val="1"/>
      </rPr>
      <t xml:space="preserve">.  </t>
    </r>
    <r>
      <rPr>
        <b/>
        <sz val="12"/>
        <color indexed="8"/>
        <rFont val="Times New Roman"/>
        <family val="1"/>
      </rPr>
      <t xml:space="preserve">Transfer to and from neighborhood revitalization fund. </t>
    </r>
    <r>
      <rPr>
        <sz val="12"/>
        <color indexed="8"/>
        <rFont val="Times New Roman"/>
        <family val="1"/>
      </rPr>
      <t xml:space="preserve"> Authorizes transfers to a neighborhood revitalization fund from any source which may be lawfully utilized to finance redevelopment of designated revitalization areas and dilapidated structures and to provide rebates such purposes.</t>
    </r>
  </si>
  <si>
    <r>
      <t xml:space="preserve">K.S.A. </t>
    </r>
    <r>
      <rPr>
        <b/>
        <sz val="12"/>
        <color indexed="8"/>
        <rFont val="Times New Roman"/>
        <family val="1"/>
      </rPr>
      <t>17-1336a.</t>
    </r>
    <r>
      <rPr>
        <sz val="12"/>
        <color indexed="8"/>
        <rFont val="Times New Roman"/>
        <family val="1"/>
      </rPr>
      <t xml:space="preserve">  </t>
    </r>
    <r>
      <rPr>
        <b/>
        <sz val="12"/>
        <color indexed="8"/>
        <rFont val="Times New Roman"/>
        <family val="1"/>
      </rPr>
      <t xml:space="preserve">Transfer to special road completion fund; transfer to special machinery and equipment fund. </t>
    </r>
    <r>
      <rPr>
        <sz val="12"/>
        <color indexed="8"/>
        <rFont val="Times New Roman"/>
        <family val="1"/>
      </rPr>
      <t xml:space="preserve"> (a)  Authorizes a cemetery district to make an annual transfer of any tax levy surpluses existing at the end of a budget year to a special fund for the completion of road improvements.</t>
    </r>
  </si>
  <si>
    <t>(b)  Authorizes a cemetery district to transfer up to 25% of any tax levy surpluses existing at the end of a budget year to a special fund to be used to purchase machinery and equipment for cemetery maintenance.</t>
  </si>
  <si>
    <r>
      <t>K.S.A. 79-2958.</t>
    </r>
    <r>
      <rPr>
        <sz val="12"/>
        <rFont val="Times New Roman"/>
        <family val="1"/>
      </rPr>
      <t xml:space="preserve">  </t>
    </r>
    <r>
      <rPr>
        <b/>
        <sz val="12"/>
        <rFont val="Times New Roman"/>
        <family val="1"/>
      </rPr>
      <t>Transfer from closed tax levy fund.</t>
    </r>
    <r>
      <rPr>
        <sz val="12"/>
        <rFont val="Times New Roman"/>
        <family val="1"/>
      </rPr>
      <t xml:space="preserve">  </t>
    </r>
    <r>
      <rPr>
        <sz val="12"/>
        <color indexed="8"/>
        <rFont val="Times New Roman"/>
        <family val="1"/>
      </rPr>
      <t>Whenever there shall remain in any fund moneys received from the levy of a tax, after all obligations of such fund have been fully paid, the treasurer shall close out the fund and credit the excess to the general fund.  Should any back taxes for such levy afterwards be received by the taxing subdivision, it shall be credited to the fund for general purposes.</t>
    </r>
  </si>
  <si>
    <r>
      <t>K.S.A. 80-1559</t>
    </r>
    <r>
      <rPr>
        <sz val="12"/>
        <color indexed="8"/>
        <rFont val="Times New Roman"/>
        <family val="1"/>
      </rPr>
      <t>.</t>
    </r>
    <r>
      <rPr>
        <b/>
        <sz val="12"/>
        <color indexed="8"/>
        <rFont val="Times New Roman"/>
        <family val="1"/>
      </rPr>
      <t xml:space="preserve">  Transfer to and from special township fire district reserve fund.  </t>
    </r>
    <r>
      <rPr>
        <sz val="12"/>
        <color indexed="8"/>
        <rFont val="Times New Roman"/>
        <family val="1"/>
      </rPr>
      <t>Township fire districts may transfer, annually, up to 25% of from the fire fund to a special township fire district reserve fund, and may retransfer such amount not needed to the fund from which it came.</t>
    </r>
  </si>
  <si>
    <t>Neighborhood Revitalization Subj to Rebate:</t>
  </si>
  <si>
    <t>Neighborhood Revitalization factor:</t>
  </si>
  <si>
    <t>Valuation Factor:</t>
  </si>
  <si>
    <t>This tab will put the date and time and location of the budget hearing on the Budget Summary page.  Also, provide the location where as the budget can be reveiwed.  Please input information in the green areas.</t>
  </si>
  <si>
    <t>Date:</t>
  </si>
  <si>
    <t>Time:</t>
  </si>
  <si>
    <t>Location:</t>
  </si>
  <si>
    <t>Available at:</t>
  </si>
  <si>
    <t>Examples</t>
  </si>
  <si>
    <t>August 12, 2010</t>
  </si>
  <si>
    <t>7:00 PM or 7:00 AM</t>
  </si>
  <si>
    <t xml:space="preserve">Shawnee County Clerk's Office </t>
  </si>
  <si>
    <t>Shawnee County Clerk's Office/Some one residence/Township Hall/Local Library</t>
  </si>
  <si>
    <t>answering objections of taxpayers relating  to the proposed use of all funds and the amount of tax to levied.</t>
  </si>
  <si>
    <t>The following were changed to this spreadsheet on 12/08/09</t>
  </si>
  <si>
    <t>1. Instruction tab, added step 3 for 'inputBudSum'</t>
  </si>
  <si>
    <t>2. Added tab 'inputBudSum'</t>
  </si>
  <si>
    <t>3. Changed Budget Summary replacing the green areas for date/time/location so info comes from inputBudSum tab</t>
  </si>
  <si>
    <t>4. Bud Summary delete a space and combine sentences 'Detail…' and 'and will' for where budget infor located at</t>
  </si>
  <si>
    <t>Possible Budget Law Violation</t>
  </si>
  <si>
    <t xml:space="preserve">Welcome.  You have been directed to this tab because your </t>
  </si>
  <si>
    <t>In short, you are looking at a potential budget law violation.</t>
  </si>
  <si>
    <t>However, the good news is that you may have options available</t>
  </si>
  <si>
    <t>that will allow you to avoid a budget law violation.</t>
  </si>
  <si>
    <t>Can the potential violation be corrected at this time?</t>
  </si>
  <si>
    <r>
      <t xml:space="preserve">If the municipality financial records have </t>
    </r>
    <r>
      <rPr>
        <b/>
        <u/>
        <sz val="12"/>
        <rFont val="Courier"/>
        <family val="3"/>
      </rPr>
      <t>not been</t>
    </r>
    <r>
      <rPr>
        <sz val="12"/>
        <rFont val="Courier"/>
        <family val="3"/>
      </rPr>
      <t xml:space="preserve"> closed</t>
    </r>
  </si>
  <si>
    <t xml:space="preserve">budget has not been submitted to the county clerk) then the </t>
  </si>
  <si>
    <t xml:space="preserve">budget law violation can be fixed before submission of the </t>
  </si>
  <si>
    <t>budget to the county clerk.</t>
  </si>
  <si>
    <t>What should I do?</t>
  </si>
  <si>
    <t xml:space="preserve">First, review the input page information (inputPrYr tab) </t>
  </si>
  <si>
    <t>to ensure that the correct amount was entered for this</t>
  </si>
  <si>
    <t>use the amended, higher budget amount?</t>
  </si>
  <si>
    <t xml:space="preserve">reduced or eliminated.  For example, are you showing any </t>
  </si>
  <si>
    <t>transfers from this fund to another?  If so, consider whether</t>
  </si>
  <si>
    <t>you can reduce or eliminate one or more transfers.</t>
  </si>
  <si>
    <t>(e.g. FEMA)?  If so, instead of showing the reimbursement as a</t>
  </si>
  <si>
    <r>
      <t xml:space="preserve">receipt, show the reimbursement as a negative </t>
    </r>
    <r>
      <rPr>
        <i/>
        <sz val="12"/>
        <rFont val="Courier"/>
        <family val="3"/>
      </rPr>
      <t>expenditure</t>
    </r>
    <r>
      <rPr>
        <sz val="12"/>
        <rFont val="Courier"/>
        <family val="3"/>
      </rPr>
      <t>.</t>
    </r>
  </si>
  <si>
    <t>The shifting of expenditures between funds, as described in</t>
  </si>
  <si>
    <t>the preceding paragraph, can be accomplished between any funds</t>
  </si>
  <si>
    <t>that share expenses.</t>
  </si>
  <si>
    <t>Finally, if your general fund is healthy - it has enough budget</t>
  </si>
  <si>
    <t>authority and cash - then it might be used to cover the excess</t>
  </si>
  <si>
    <t>expenditures. (AGO No. 85-181)</t>
  </si>
  <si>
    <t>Is amending the budget an option?</t>
  </si>
  <si>
    <t xml:space="preserve">Amending the budget is a timing issue.  In order to amend the </t>
  </si>
  <si>
    <t>budget, you must have the complete amending process completed</t>
  </si>
  <si>
    <t xml:space="preserve">before the end of the calandar year.  If you start at the </t>
  </si>
  <si>
    <t xml:space="preserve">beginning of December, then you should have enough time to </t>
  </si>
  <si>
    <t xml:space="preserve">amend the budget.  But, if started during the middle of </t>
  </si>
  <si>
    <t>December, then you might not have enough time to complete</t>
  </si>
  <si>
    <t xml:space="preserve">the amending process.  Remember the complete processing must </t>
  </si>
  <si>
    <t xml:space="preserve">be completed on or before the end of December and you must have </t>
  </si>
  <si>
    <t xml:space="preserve">at least 10 days between when published in local newspaper and </t>
  </si>
  <si>
    <t xml:space="preserve">when the budget hearing is held. So, if your local newspaper only </t>
  </si>
  <si>
    <t xml:space="preserve">publishes once a week or bi-weekly, then there might not be </t>
  </si>
  <si>
    <t xml:space="preserve">time enough to have the 10 day requirement between publication </t>
  </si>
  <si>
    <t>and the hearing.</t>
  </si>
  <si>
    <t>Amending the budget can be done at any time during the budgeted</t>
  </si>
  <si>
    <t xml:space="preserve">year.  But, amending the budget should take place before the </t>
  </si>
  <si>
    <t>expenditures exceed the budget authority.</t>
  </si>
  <si>
    <t xml:space="preserve">Well, if the municipality financial records have been closed </t>
  </si>
  <si>
    <t>adopted budget has been submitted to the county clerk), then</t>
  </si>
  <si>
    <t xml:space="preserve">the violation cannot be fixed and must be shown as it occurred. </t>
  </si>
  <si>
    <t xml:space="preserve">No punitive action will be taken as a result of the </t>
  </si>
  <si>
    <t>violation, but you should determine what caused the violation</t>
  </si>
  <si>
    <t>and take steps to avoid future violations of this nature.</t>
  </si>
  <si>
    <t>Thank you.</t>
  </si>
  <si>
    <t>Possible Cash Basis Law Violation</t>
  </si>
  <si>
    <t>Welcome.  You have been directed to this tab because your</t>
  </si>
  <si>
    <t>negative unencumbered cash balance in this fund.</t>
  </si>
  <si>
    <t xml:space="preserve">However, the good news is that you may have one or more </t>
  </si>
  <si>
    <t>options available that will allow you to avoid a cash basis</t>
  </si>
  <si>
    <t>law violation.</t>
  </si>
  <si>
    <t xml:space="preserve">Is this a violation?  </t>
  </si>
  <si>
    <t>Hopefully not.  The first thing that you might do is</t>
  </si>
  <si>
    <t>to review K.S.A. 10-1116 to see if your fund might be one of</t>
  </si>
  <si>
    <t xml:space="preserve">those for which a negative cash balance is permitted. </t>
  </si>
  <si>
    <t>What if K.S.A. 10-1116 applies?</t>
  </si>
  <si>
    <t xml:space="preserve">If the fund falls into one of the categories, then a cash  </t>
  </si>
  <si>
    <t>basis law violation has not occurred. Please annotate to the</t>
  </si>
  <si>
    <r>
      <t>left of the 'See Tab B' as follows:  "</t>
    </r>
    <r>
      <rPr>
        <i/>
        <u/>
        <sz val="12"/>
        <rFont val="Courier"/>
        <family val="3"/>
      </rPr>
      <t>10-1116 applies.</t>
    </r>
    <r>
      <rPr>
        <sz val="12"/>
        <rFont val="Courier"/>
        <family val="3"/>
      </rPr>
      <t>"</t>
    </r>
  </si>
  <si>
    <t>What if K.S.A. 10-1116 does not apply?</t>
  </si>
  <si>
    <t xml:space="preserve">If the fund does not fall into one of the categories, then </t>
  </si>
  <si>
    <t xml:space="preserve">let's explore your options, below, to see if we can help you </t>
  </si>
  <si>
    <t>avoid a cash basis law violation.</t>
  </si>
  <si>
    <t>Options</t>
  </si>
  <si>
    <t xml:space="preserve">budget has not been submitted to the county clerk) then </t>
  </si>
  <si>
    <t xml:space="preserve">either your fund receipts will need to be increased </t>
  </si>
  <si>
    <t>(transfer from another fund) or your expenditures will</t>
  </si>
  <si>
    <t>need to be decreased (shifting of expenditures to another</t>
  </si>
  <si>
    <t>fund), or a combination of the two.</t>
  </si>
  <si>
    <t>Increasing your receipts through one or more transfers</t>
  </si>
  <si>
    <t>is contingent upon the available cash, budget authority,</t>
  </si>
  <si>
    <t>and statutory authority for the transfer from the fund or</t>
  </si>
  <si>
    <t>funds from which one or more transfers might be made.</t>
  </si>
  <si>
    <t xml:space="preserve">Another option for you to consider is the shifting of </t>
  </si>
  <si>
    <t xml:space="preserve">expenditures from this fund to another fund.  Again, the </t>
  </si>
  <si>
    <t>fund to which expenditures are shifted must have available</t>
  </si>
  <si>
    <t>cash and budget authority in order to absorb the additional</t>
  </si>
  <si>
    <t xml:space="preserve">expenditures.  </t>
  </si>
  <si>
    <t>What if K.S.A. 10-1116 does not apply, and no options</t>
  </si>
  <si>
    <t>are available to me?</t>
  </si>
  <si>
    <t xml:space="preserve">Unfortunately, under this scenario you are pretty much stuck </t>
  </si>
  <si>
    <t>with a cash basis law violation.  However, you can accept</t>
  </si>
  <si>
    <t>the violation as a learning tool to help you prevent violations</t>
  </si>
  <si>
    <t>in the future.</t>
  </si>
  <si>
    <t>Regular reviews of current year budget performance, especially</t>
  </si>
  <si>
    <t>from the end of the third quarter on, might allow you to determine</t>
  </si>
  <si>
    <t>in a timely fashion whether an increase in revenue or a decrease</t>
  </si>
  <si>
    <t>in expenditures is going to be needed before the end of the fiscal</t>
  </si>
  <si>
    <t>year in order to ensure that a fund finishes the year in good</t>
  </si>
  <si>
    <t>shape.</t>
  </si>
  <si>
    <t>In addition to the options discussed above, during the later</t>
  </si>
  <si>
    <t>part of the year if a utility fund or the general fund has</t>
  </si>
  <si>
    <t>the cash, but not the budget authority, amending the budget</t>
  </si>
  <si>
    <t xml:space="preserve">might be done in order to increase budget authority so that </t>
  </si>
  <si>
    <t>a transfer can then be made to the struggling fund or, in</t>
  </si>
  <si>
    <t>the case of the general fund, there can be a shifting of</t>
  </si>
  <si>
    <t>expenditures from the struggling fund to the general fund.</t>
  </si>
  <si>
    <t>If, in the future, you choose to amend the budget as described</t>
  </si>
  <si>
    <t>in the paragraph above, please remember that the amendment</t>
  </si>
  <si>
    <t>must occur before the end of the fiscal year.</t>
  </si>
  <si>
    <t>Current Year - Possible Budget Law Violation</t>
  </si>
  <si>
    <t>budget authority.'</t>
  </si>
  <si>
    <t>In short, you are looking at a potential budget law violation</t>
  </si>
  <si>
    <t>if you truly end up the year as your current estimates</t>
  </si>
  <si>
    <t xml:space="preserve">reflect.  The good news is that you have an early </t>
  </si>
  <si>
    <t>indication of possible issues which can be addressed</t>
  </si>
  <si>
    <t>sooner rather than later.</t>
  </si>
  <si>
    <t xml:space="preserve">Should the potential for a violation be corrected at </t>
  </si>
  <si>
    <t xml:space="preserve">this time? </t>
  </si>
</sst>
</file>

<file path=xl/styles.xml><?xml version="1.0" encoding="utf-8"?>
<styleSheet xmlns="http://schemas.openxmlformats.org/spreadsheetml/2006/main">
  <numFmts count="19">
    <numFmt numFmtId="5" formatCode="&quot;$&quot;#,##0_);\(&quot;$&quot;#,##0\)"/>
    <numFmt numFmtId="43" formatCode="_(* #,##0.00_);_(* \(#,##0.00\);_(* &quot;-&quot;??_);_(@_)"/>
    <numFmt numFmtId="164" formatCode="0.000_)"/>
    <numFmt numFmtId="165" formatCode="0_)"/>
    <numFmt numFmtId="166" formatCode="0.00000_)"/>
    <numFmt numFmtId="167" formatCode="#,##0.00000_);\(#,##0.00000\)"/>
    <numFmt numFmtId="168" formatCode="0.00000"/>
    <numFmt numFmtId="169" formatCode="_(* #,##0_);_(* \(#,##0\);_(* &quot;-&quot;??_);_(@_)"/>
    <numFmt numFmtId="170" formatCode="m/d/yy"/>
    <numFmt numFmtId="171" formatCode="m/d"/>
    <numFmt numFmtId="172" formatCode="#,##0.000_);\(#,##0.000\)"/>
    <numFmt numFmtId="173" formatCode="0.000%"/>
    <numFmt numFmtId="174" formatCode="0.000"/>
    <numFmt numFmtId="175" formatCode="#,##0.000"/>
    <numFmt numFmtId="176" formatCode="[$-409]mmmm\ d\,\ yyyy;@"/>
    <numFmt numFmtId="177" formatCode="[$-409]h:mm\ AM/PM;@"/>
    <numFmt numFmtId="178" formatCode="&quot;$&quot;#,##0"/>
    <numFmt numFmtId="179" formatCode="&quot;$&quot;#,##0.00"/>
    <numFmt numFmtId="180" formatCode="0.0%"/>
  </numFmts>
  <fonts count="63">
    <font>
      <sz val="12"/>
      <name val="Courier"/>
    </font>
    <font>
      <b/>
      <sz val="12"/>
      <name val="Courier"/>
    </font>
    <font>
      <sz val="12"/>
      <name val="Courier"/>
      <family val="3"/>
    </font>
    <font>
      <sz val="12"/>
      <name val="Times New Roman"/>
      <family val="1"/>
    </font>
    <font>
      <b/>
      <sz val="12"/>
      <name val="Times New Roman"/>
      <family val="1"/>
    </font>
    <font>
      <u/>
      <sz val="12"/>
      <name val="Times New Roman"/>
      <family val="1"/>
    </font>
    <font>
      <sz val="11"/>
      <name val="Times New Roman"/>
      <family val="1"/>
    </font>
    <font>
      <sz val="10"/>
      <name val="Times New Roman"/>
      <family val="1"/>
    </font>
    <font>
      <sz val="14"/>
      <name val="Times New Roman"/>
      <family val="1"/>
    </font>
    <font>
      <sz val="12"/>
      <name val="Courier New"/>
      <family val="3"/>
    </font>
    <font>
      <u/>
      <sz val="12"/>
      <color indexed="12"/>
      <name val="Courier New"/>
      <family val="3"/>
    </font>
    <font>
      <sz val="8"/>
      <name val="Courier New"/>
      <family val="3"/>
    </font>
    <font>
      <i/>
      <sz val="11"/>
      <name val="Times New Roman"/>
      <family val="1"/>
    </font>
    <font>
      <b/>
      <sz val="11"/>
      <name val="Times New Roman"/>
      <family val="1"/>
    </font>
    <font>
      <b/>
      <sz val="8"/>
      <name val="Times New Roman"/>
      <family val="1"/>
    </font>
    <font>
      <sz val="8"/>
      <name val="Courier"/>
      <family val="3"/>
    </font>
    <font>
      <sz val="12"/>
      <name val="Courier"/>
      <family val="3"/>
    </font>
    <font>
      <b/>
      <u/>
      <sz val="12"/>
      <name val="Times New Roman"/>
      <family val="1"/>
    </font>
    <font>
      <b/>
      <u/>
      <sz val="12"/>
      <color indexed="10"/>
      <name val="Times New Roman"/>
      <family val="1"/>
    </font>
    <font>
      <b/>
      <u/>
      <sz val="12"/>
      <name val="Courier"/>
      <family val="3"/>
    </font>
    <font>
      <sz val="10"/>
      <name val="Courier"/>
      <family val="3"/>
    </font>
    <font>
      <sz val="12"/>
      <color indexed="10"/>
      <name val="Times New Roman"/>
      <family val="1"/>
    </font>
    <font>
      <sz val="12"/>
      <color indexed="10"/>
      <name val="Courier"/>
      <family val="3"/>
    </font>
    <font>
      <b/>
      <sz val="12"/>
      <color indexed="10"/>
      <name val="Times New Roman"/>
      <family val="1"/>
    </font>
    <font>
      <i/>
      <sz val="12"/>
      <name val="Times New Roman"/>
      <family val="1"/>
    </font>
    <font>
      <sz val="8"/>
      <name val="Times New Roman"/>
      <family val="1"/>
    </font>
    <font>
      <b/>
      <sz val="12"/>
      <color indexed="8"/>
      <name val="Times New Roman"/>
      <family val="1"/>
    </font>
    <font>
      <sz val="12"/>
      <color indexed="8"/>
      <name val="Times New Roman"/>
      <family val="1"/>
    </font>
    <font>
      <sz val="12"/>
      <name val="Courier"/>
      <family val="3"/>
    </font>
    <font>
      <b/>
      <sz val="14"/>
      <name val="Times New Roman"/>
      <family val="1"/>
    </font>
    <font>
      <b/>
      <u/>
      <sz val="8"/>
      <color indexed="10"/>
      <name val="Times New Roman"/>
      <family val="1"/>
    </font>
    <font>
      <sz val="12"/>
      <name val="Courier New"/>
      <family val="3"/>
    </font>
    <font>
      <sz val="12"/>
      <name val="Courier New"/>
      <family val="3"/>
    </font>
    <font>
      <b/>
      <sz val="12"/>
      <name val="Courier"/>
      <family val="3"/>
    </font>
    <font>
      <i/>
      <sz val="12"/>
      <name val="Courier"/>
      <family val="3"/>
    </font>
    <font>
      <i/>
      <u/>
      <sz val="12"/>
      <name val="Courier"/>
      <family val="3"/>
    </font>
    <font>
      <sz val="12"/>
      <name val="Courier"/>
      <family val="3"/>
    </font>
    <font>
      <sz val="11"/>
      <name val="Cambria"/>
      <family val="1"/>
    </font>
    <font>
      <b/>
      <sz val="11"/>
      <color indexed="8"/>
      <name val="Cambria"/>
      <family val="1"/>
    </font>
    <font>
      <b/>
      <sz val="13"/>
      <name val="Times New Roman"/>
      <family val="1"/>
    </font>
    <font>
      <u/>
      <sz val="12"/>
      <color indexed="12"/>
      <name val="Courier"/>
      <family val="3"/>
    </font>
    <font>
      <u/>
      <sz val="12"/>
      <color indexed="12"/>
      <name val="Times New Roman"/>
      <family val="1"/>
    </font>
    <font>
      <i/>
      <sz val="12"/>
      <color indexed="8"/>
      <name val="Times New Roman"/>
      <family val="1"/>
    </font>
    <font>
      <b/>
      <u/>
      <sz val="10"/>
      <name val="Times New Roman"/>
      <family val="1"/>
    </font>
    <font>
      <b/>
      <sz val="10"/>
      <name val="Times New Roman"/>
      <family val="1"/>
    </font>
    <font>
      <sz val="10"/>
      <color indexed="10"/>
      <name val="Times New Roman"/>
      <family val="1"/>
    </font>
    <font>
      <b/>
      <sz val="8"/>
      <color indexed="10"/>
      <name val="Times New Roman"/>
      <family val="1"/>
    </font>
    <font>
      <sz val="8"/>
      <color indexed="10"/>
      <name val="Times New Roman"/>
      <family val="1"/>
    </font>
    <font>
      <sz val="10"/>
      <color indexed="10"/>
      <name val="Times New Roman"/>
      <family val="1"/>
    </font>
    <font>
      <sz val="12"/>
      <color indexed="8"/>
      <name val="Times New Roman"/>
      <family val="1"/>
    </font>
    <font>
      <b/>
      <sz val="12"/>
      <color indexed="8"/>
      <name val="Times New Roman"/>
      <family val="1"/>
    </font>
    <font>
      <u/>
      <sz val="12"/>
      <color indexed="10"/>
      <name val="Times New Roman"/>
      <family val="1"/>
    </font>
    <font>
      <b/>
      <sz val="12"/>
      <color indexed="10"/>
      <name val="Times New Roman"/>
      <family val="1"/>
    </font>
    <font>
      <b/>
      <sz val="11"/>
      <color indexed="8"/>
      <name val="Cambria"/>
      <family val="1"/>
    </font>
    <font>
      <sz val="11"/>
      <color indexed="8"/>
      <name val="Cambria"/>
      <family val="1"/>
    </font>
    <font>
      <b/>
      <u/>
      <sz val="12"/>
      <color indexed="10"/>
      <name val="Times New Roman"/>
      <family val="1"/>
    </font>
    <font>
      <sz val="12"/>
      <color indexed="9"/>
      <name val="Courier"/>
      <family val="3"/>
    </font>
    <font>
      <sz val="12"/>
      <color indexed="9"/>
      <name val="Courier New"/>
      <family val="3"/>
    </font>
    <font>
      <sz val="8"/>
      <color indexed="9"/>
      <name val="Times New Roman"/>
      <family val="1"/>
    </font>
    <font>
      <sz val="12"/>
      <color indexed="9"/>
      <name val="Times New Roman"/>
      <family val="1"/>
    </font>
    <font>
      <sz val="10"/>
      <color indexed="10"/>
      <name val="Times New Roman"/>
      <family val="1"/>
    </font>
    <font>
      <b/>
      <sz val="10"/>
      <color indexed="10"/>
      <name val="Times New Roman"/>
      <family val="1"/>
    </font>
    <font>
      <sz val="11"/>
      <color theme="1"/>
      <name val="Calibri"/>
      <family val="2"/>
      <scheme val="minor"/>
    </font>
  </fonts>
  <fills count="12">
    <fill>
      <patternFill patternType="none"/>
    </fill>
    <fill>
      <patternFill patternType="gray125"/>
    </fill>
    <fill>
      <patternFill patternType="solid">
        <fgColor indexed="11"/>
        <bgColor indexed="64"/>
      </patternFill>
    </fill>
    <fill>
      <patternFill patternType="solid">
        <fgColor indexed="26"/>
        <bgColor indexed="64"/>
      </patternFill>
    </fill>
    <fill>
      <patternFill patternType="solid">
        <fgColor indexed="11"/>
      </patternFill>
    </fill>
    <fill>
      <patternFill patternType="solid">
        <fgColor indexed="35"/>
        <bgColor indexed="64"/>
      </patternFill>
    </fill>
    <fill>
      <patternFill patternType="solid">
        <fgColor indexed="41"/>
        <bgColor indexed="64"/>
      </patternFill>
    </fill>
    <fill>
      <patternFill patternType="solid">
        <fgColor indexed="43"/>
        <bgColor indexed="64"/>
      </patternFill>
    </fill>
    <fill>
      <patternFill patternType="solid">
        <fgColor indexed="15"/>
        <bgColor indexed="64"/>
      </patternFill>
    </fill>
    <fill>
      <patternFill patternType="solid">
        <fgColor indexed="10"/>
        <bgColor indexed="64"/>
      </patternFill>
    </fill>
    <fill>
      <patternFill patternType="solid">
        <fgColor indexed="13"/>
        <bgColor indexed="64"/>
      </patternFill>
    </fill>
    <fill>
      <patternFill patternType="solid">
        <fgColor indexed="9"/>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bottom style="double">
        <color indexed="64"/>
      </bottom>
      <diagonal/>
    </border>
    <border>
      <left/>
      <right style="thin">
        <color indexed="64"/>
      </right>
      <top style="thin">
        <color indexed="64"/>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medium">
        <color indexed="64"/>
      </bottom>
      <diagonal/>
    </border>
  </borders>
  <cellStyleXfs count="424">
    <xf numFmtId="0" fontId="0"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0"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32" fillId="0" borderId="0"/>
    <xf numFmtId="0" fontId="9" fillId="0" borderId="0"/>
    <xf numFmtId="0" fontId="9" fillId="0" borderId="0"/>
    <xf numFmtId="0" fontId="2" fillId="0" borderId="0"/>
    <xf numFmtId="0" fontId="9" fillId="0" borderId="0"/>
    <xf numFmtId="0" fontId="9" fillId="0" borderId="0"/>
    <xf numFmtId="0" fontId="9" fillId="0" borderId="0"/>
    <xf numFmtId="0" fontId="2" fillId="0" borderId="0"/>
    <xf numFmtId="0" fontId="2" fillId="0" borderId="0"/>
    <xf numFmtId="0" fontId="2" fillId="0" borderId="0"/>
    <xf numFmtId="0" fontId="32" fillId="0" borderId="0"/>
    <xf numFmtId="0" fontId="9" fillId="0" borderId="0"/>
    <xf numFmtId="0" fontId="9" fillId="0" borderId="0"/>
    <xf numFmtId="0" fontId="9" fillId="0" borderId="0"/>
    <xf numFmtId="0" fontId="9" fillId="0" borderId="0"/>
    <xf numFmtId="0" fontId="2" fillId="0" borderId="0"/>
    <xf numFmtId="0" fontId="3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2" fillId="0" borderId="0"/>
    <xf numFmtId="0" fontId="9" fillId="0" borderId="0"/>
    <xf numFmtId="0" fontId="9" fillId="0" borderId="0"/>
    <xf numFmtId="0" fontId="9" fillId="0" borderId="0"/>
    <xf numFmtId="0" fontId="2" fillId="0" borderId="0"/>
    <xf numFmtId="0" fontId="2" fillId="0" borderId="0"/>
    <xf numFmtId="0" fontId="2" fillId="0" borderId="0"/>
    <xf numFmtId="0" fontId="32" fillId="0" borderId="0"/>
    <xf numFmtId="0" fontId="9" fillId="0" borderId="0"/>
    <xf numFmtId="0" fontId="9" fillId="0" borderId="0"/>
    <xf numFmtId="0" fontId="9" fillId="0" borderId="0"/>
    <xf numFmtId="0" fontId="32" fillId="0" borderId="0"/>
    <xf numFmtId="0" fontId="9" fillId="0" borderId="0"/>
    <xf numFmtId="0" fontId="9" fillId="0" borderId="0"/>
    <xf numFmtId="0" fontId="9" fillId="0" borderId="0"/>
    <xf numFmtId="0" fontId="32" fillId="0" borderId="0"/>
    <xf numFmtId="0" fontId="9" fillId="0" borderId="0"/>
    <xf numFmtId="0" fontId="9" fillId="0" borderId="0"/>
    <xf numFmtId="0" fontId="9" fillId="0" borderId="0"/>
    <xf numFmtId="0" fontId="9" fillId="0" borderId="0"/>
    <xf numFmtId="0" fontId="2" fillId="0" borderId="0"/>
    <xf numFmtId="0" fontId="2" fillId="0" borderId="0"/>
    <xf numFmtId="0" fontId="9" fillId="0" borderId="0"/>
    <xf numFmtId="0" fontId="2" fillId="0" borderId="0"/>
    <xf numFmtId="0" fontId="2" fillId="0" borderId="0"/>
    <xf numFmtId="0" fontId="9" fillId="0" borderId="0"/>
    <xf numFmtId="0" fontId="9" fillId="0" borderId="0"/>
    <xf numFmtId="0" fontId="2"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9" fillId="0" borderId="0"/>
    <xf numFmtId="0" fontId="9" fillId="0" borderId="0"/>
    <xf numFmtId="0" fontId="2" fillId="0" borderId="0"/>
    <xf numFmtId="0" fontId="31" fillId="0" borderId="0"/>
    <xf numFmtId="0" fontId="2" fillId="0" borderId="0"/>
    <xf numFmtId="0" fontId="9" fillId="0" borderId="0"/>
    <xf numFmtId="0" fontId="2" fillId="0" borderId="0"/>
    <xf numFmtId="0" fontId="9"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9" fillId="0" borderId="0"/>
    <xf numFmtId="0" fontId="9" fillId="0" borderId="0"/>
    <xf numFmtId="0" fontId="9" fillId="0" borderId="0"/>
    <xf numFmtId="0" fontId="9" fillId="0" borderId="0"/>
    <xf numFmtId="0" fontId="28" fillId="0" borderId="0"/>
    <xf numFmtId="0" fontId="2" fillId="0" borderId="0"/>
    <xf numFmtId="0" fontId="2" fillId="0" borderId="0"/>
    <xf numFmtId="0" fontId="2" fillId="0" borderId="0"/>
    <xf numFmtId="0" fontId="2" fillId="0" borderId="0"/>
    <xf numFmtId="0" fontId="9" fillId="0" borderId="0"/>
    <xf numFmtId="0" fontId="9" fillId="0" borderId="0"/>
    <xf numFmtId="0" fontId="2" fillId="0" borderId="0"/>
    <xf numFmtId="0" fontId="9" fillId="0" borderId="0"/>
    <xf numFmtId="0" fontId="2" fillId="0" borderId="0"/>
    <xf numFmtId="0" fontId="9" fillId="0" borderId="0"/>
    <xf numFmtId="0" fontId="9" fillId="0" borderId="0"/>
    <xf numFmtId="0" fontId="9" fillId="0" borderId="0"/>
    <xf numFmtId="0" fontId="2" fillId="0" borderId="0"/>
    <xf numFmtId="0" fontId="9" fillId="0" borderId="0"/>
    <xf numFmtId="0" fontId="2" fillId="0" borderId="0"/>
    <xf numFmtId="0" fontId="9" fillId="0" borderId="0"/>
    <xf numFmtId="0" fontId="2" fillId="0" borderId="0"/>
    <xf numFmtId="0" fontId="2" fillId="0" borderId="0"/>
    <xf numFmtId="0" fontId="2" fillId="0" borderId="0"/>
    <xf numFmtId="0" fontId="2" fillId="0" borderId="0"/>
    <xf numFmtId="0" fontId="9" fillId="0" borderId="0"/>
    <xf numFmtId="0" fontId="9" fillId="0" borderId="0"/>
    <xf numFmtId="0" fontId="2" fillId="0" borderId="0"/>
    <xf numFmtId="0" fontId="9" fillId="0" borderId="0"/>
    <xf numFmtId="0" fontId="9" fillId="0" borderId="0"/>
    <xf numFmtId="0" fontId="9" fillId="0" borderId="0"/>
    <xf numFmtId="0" fontId="9"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 fillId="0" borderId="0"/>
    <xf numFmtId="0" fontId="2" fillId="0" borderId="0"/>
    <xf numFmtId="0" fontId="2" fillId="0" borderId="0"/>
    <xf numFmtId="0" fontId="9" fillId="0" borderId="0"/>
    <xf numFmtId="0" fontId="9" fillId="0" borderId="0"/>
    <xf numFmtId="0" fontId="9" fillId="0" borderId="0"/>
    <xf numFmtId="0" fontId="2" fillId="0" borderId="0"/>
    <xf numFmtId="0" fontId="2" fillId="0" borderId="0"/>
    <xf numFmtId="0" fontId="9" fillId="0" borderId="0"/>
    <xf numFmtId="0" fontId="2" fillId="0" borderId="0"/>
    <xf numFmtId="0" fontId="2" fillId="0" borderId="0"/>
    <xf numFmtId="0" fontId="9"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 fillId="0" borderId="0"/>
    <xf numFmtId="0" fontId="9" fillId="0" borderId="0"/>
    <xf numFmtId="0" fontId="9" fillId="0" borderId="0"/>
    <xf numFmtId="0" fontId="9" fillId="0" borderId="0"/>
    <xf numFmtId="0" fontId="2" fillId="0" borderId="0"/>
    <xf numFmtId="0" fontId="2" fillId="0" borderId="0"/>
    <xf numFmtId="0" fontId="9" fillId="0" borderId="0"/>
    <xf numFmtId="0" fontId="2" fillId="0" borderId="0"/>
    <xf numFmtId="0" fontId="2" fillId="0" borderId="0"/>
    <xf numFmtId="0" fontId="9"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9"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2" fillId="0" borderId="0"/>
    <xf numFmtId="0" fontId="6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2" fillId="0" borderId="0"/>
    <xf numFmtId="0" fontId="31" fillId="0" borderId="0"/>
    <xf numFmtId="0" fontId="2" fillId="0" borderId="0"/>
    <xf numFmtId="0" fontId="9" fillId="0" borderId="0"/>
    <xf numFmtId="0" fontId="9" fillId="0" borderId="0"/>
    <xf numFmtId="0" fontId="2" fillId="0" borderId="0"/>
    <xf numFmtId="0" fontId="9" fillId="0" borderId="0"/>
    <xf numFmtId="0" fontId="9" fillId="0" borderId="0"/>
    <xf numFmtId="0" fontId="2" fillId="0" borderId="0"/>
    <xf numFmtId="0" fontId="2" fillId="0" borderId="0"/>
    <xf numFmtId="0" fontId="9" fillId="0" borderId="0"/>
    <xf numFmtId="0" fontId="9" fillId="0" borderId="0"/>
    <xf numFmtId="0" fontId="2" fillId="0" borderId="0"/>
    <xf numFmtId="0" fontId="9" fillId="0" borderId="0"/>
    <xf numFmtId="0" fontId="2" fillId="0" borderId="0"/>
    <xf numFmtId="0" fontId="9" fillId="0" borderId="0"/>
    <xf numFmtId="0" fontId="9" fillId="0" borderId="0"/>
    <xf numFmtId="0" fontId="9" fillId="0" borderId="0"/>
    <xf numFmtId="0" fontId="2" fillId="0" borderId="0"/>
    <xf numFmtId="0" fontId="2" fillId="0" borderId="0"/>
    <xf numFmtId="0" fontId="2" fillId="0" borderId="0"/>
    <xf numFmtId="0" fontId="2" fillId="0" borderId="0"/>
    <xf numFmtId="0" fontId="9" fillId="0" borderId="0"/>
    <xf numFmtId="0" fontId="9" fillId="0" borderId="0"/>
    <xf numFmtId="0" fontId="2" fillId="0" borderId="0"/>
    <xf numFmtId="0" fontId="9" fillId="0" borderId="0"/>
    <xf numFmtId="0" fontId="9" fillId="0" borderId="0"/>
    <xf numFmtId="0" fontId="2" fillId="0" borderId="0"/>
    <xf numFmtId="0" fontId="9" fillId="0" borderId="0"/>
    <xf numFmtId="0" fontId="9" fillId="0" borderId="0"/>
    <xf numFmtId="0" fontId="2" fillId="0" borderId="0"/>
    <xf numFmtId="0" fontId="9" fillId="0" borderId="0"/>
    <xf numFmtId="0" fontId="2" fillId="0" borderId="0"/>
    <xf numFmtId="0" fontId="2" fillId="0" borderId="0"/>
    <xf numFmtId="0" fontId="31" fillId="0" borderId="0"/>
    <xf numFmtId="0" fontId="2" fillId="0" borderId="0"/>
    <xf numFmtId="0" fontId="2" fillId="0" borderId="0"/>
    <xf numFmtId="0" fontId="2" fillId="0" borderId="0"/>
    <xf numFmtId="0" fontId="9" fillId="0" borderId="0"/>
    <xf numFmtId="0" fontId="2" fillId="0" borderId="0"/>
    <xf numFmtId="0" fontId="9" fillId="0" borderId="0"/>
    <xf numFmtId="0" fontId="9" fillId="0" borderId="0"/>
    <xf numFmtId="0" fontId="9" fillId="0" borderId="0"/>
    <xf numFmtId="0" fontId="9" fillId="0" borderId="0"/>
    <xf numFmtId="0" fontId="9" fillId="0" borderId="0"/>
    <xf numFmtId="0" fontId="2" fillId="0" borderId="0"/>
    <xf numFmtId="0" fontId="2" fillId="0" borderId="0"/>
    <xf numFmtId="0" fontId="32" fillId="0" borderId="0"/>
    <xf numFmtId="0" fontId="9" fillId="0" borderId="0"/>
    <xf numFmtId="0" fontId="9" fillId="0" borderId="0"/>
    <xf numFmtId="0" fontId="9" fillId="0" borderId="0"/>
    <xf numFmtId="0" fontId="2" fillId="0" borderId="0"/>
    <xf numFmtId="0" fontId="2" fillId="0" borderId="0"/>
    <xf numFmtId="0" fontId="9" fillId="0" borderId="0"/>
    <xf numFmtId="0" fontId="9" fillId="0" borderId="0"/>
    <xf numFmtId="0" fontId="9" fillId="0" borderId="0"/>
    <xf numFmtId="0" fontId="2" fillId="0" borderId="0"/>
    <xf numFmtId="0" fontId="32" fillId="0" borderId="0"/>
    <xf numFmtId="0" fontId="9" fillId="0" borderId="0"/>
    <xf numFmtId="0" fontId="9" fillId="0" borderId="0"/>
    <xf numFmtId="0" fontId="9" fillId="0" borderId="0"/>
    <xf numFmtId="0" fontId="2" fillId="0" borderId="0"/>
    <xf numFmtId="0" fontId="2" fillId="0" borderId="0"/>
    <xf numFmtId="0" fontId="2" fillId="0" borderId="0"/>
    <xf numFmtId="0" fontId="2" fillId="0" borderId="0"/>
    <xf numFmtId="0" fontId="32" fillId="0" borderId="0"/>
    <xf numFmtId="0" fontId="9" fillId="0" borderId="0"/>
    <xf numFmtId="0" fontId="9" fillId="0" borderId="0"/>
    <xf numFmtId="0" fontId="9" fillId="0" borderId="0"/>
    <xf numFmtId="0" fontId="9" fillId="0" borderId="0"/>
    <xf numFmtId="0" fontId="2" fillId="0" borderId="0"/>
    <xf numFmtId="0" fontId="2" fillId="0" borderId="0"/>
    <xf numFmtId="0" fontId="2" fillId="0" borderId="0"/>
    <xf numFmtId="0" fontId="2" fillId="0" borderId="0"/>
    <xf numFmtId="0" fontId="9" fillId="0" borderId="0"/>
  </cellStyleXfs>
  <cellXfs count="757">
    <xf numFmtId="0" fontId="0" fillId="0" borderId="0" xfId="0"/>
    <xf numFmtId="0" fontId="0" fillId="0" borderId="0" xfId="0" applyAlignment="1">
      <alignment vertical="top"/>
    </xf>
    <xf numFmtId="0" fontId="9" fillId="0" borderId="0" xfId="423"/>
    <xf numFmtId="0" fontId="6" fillId="0" borderId="0" xfId="423" applyFont="1"/>
    <xf numFmtId="0" fontId="6" fillId="0" borderId="0" xfId="423" applyFont="1" applyAlignment="1">
      <alignment horizontal="left" indent="1"/>
    </xf>
    <xf numFmtId="0" fontId="14" fillId="0" borderId="0" xfId="423" applyFont="1"/>
    <xf numFmtId="0" fontId="12" fillId="0" borderId="0" xfId="0" applyFont="1" applyAlignment="1">
      <alignment horizontal="center"/>
    </xf>
    <xf numFmtId="0" fontId="6" fillId="0" borderId="0" xfId="0" applyFont="1" applyAlignment="1">
      <alignment horizontal="center"/>
    </xf>
    <xf numFmtId="0" fontId="6" fillId="0" borderId="0" xfId="0" applyFont="1"/>
    <xf numFmtId="0" fontId="6" fillId="0" borderId="0" xfId="0" applyFont="1" applyAlignment="1">
      <alignment horizontal="left" indent="9"/>
    </xf>
    <xf numFmtId="0" fontId="14" fillId="0" borderId="0" xfId="0" applyFont="1"/>
    <xf numFmtId="0" fontId="12" fillId="0" borderId="0" xfId="0" applyFont="1" applyAlignment="1">
      <alignment horizontal="left"/>
    </xf>
    <xf numFmtId="0" fontId="6" fillId="0" borderId="0" xfId="0" applyFont="1" applyAlignment="1">
      <alignment horizontal="left"/>
    </xf>
    <xf numFmtId="0" fontId="6" fillId="0" borderId="0" xfId="423" applyFont="1" applyAlignment="1">
      <alignment horizontal="center"/>
    </xf>
    <xf numFmtId="0" fontId="3" fillId="0" borderId="0" xfId="423" applyFont="1" applyAlignment="1">
      <alignment horizontal="right"/>
    </xf>
    <xf numFmtId="0" fontId="6" fillId="2" borderId="0" xfId="423" applyFont="1" applyFill="1" applyAlignment="1" applyProtection="1">
      <alignment horizontal="center"/>
      <protection locked="0"/>
    </xf>
    <xf numFmtId="0" fontId="3" fillId="0" borderId="0" xfId="0" applyFont="1" applyAlignment="1" applyProtection="1">
      <alignment vertical="center"/>
      <protection locked="0"/>
    </xf>
    <xf numFmtId="0" fontId="3" fillId="3" borderId="0" xfId="0" applyFont="1" applyFill="1" applyAlignment="1" applyProtection="1">
      <alignment horizontal="left" vertical="center"/>
    </xf>
    <xf numFmtId="0" fontId="3" fillId="3" borderId="0" xfId="0" applyFont="1" applyFill="1" applyAlignment="1" applyProtection="1">
      <alignment vertical="center"/>
    </xf>
    <xf numFmtId="0" fontId="4" fillId="3" borderId="0" xfId="0" applyFont="1" applyFill="1" applyAlignment="1" applyProtection="1">
      <alignment horizontal="left" vertical="center"/>
    </xf>
    <xf numFmtId="0" fontId="3" fillId="3" borderId="0" xfId="0" applyFont="1" applyFill="1" applyBorder="1" applyAlignment="1" applyProtection="1">
      <alignment horizontal="left" vertical="center"/>
    </xf>
    <xf numFmtId="0" fontId="3" fillId="3" borderId="0" xfId="0" applyFont="1" applyFill="1" applyBorder="1" applyAlignment="1" applyProtection="1">
      <alignment horizontal="left" vertical="center"/>
      <protection locked="0"/>
    </xf>
    <xf numFmtId="0" fontId="4" fillId="4" borderId="1" xfId="0" applyFont="1" applyFill="1" applyBorder="1" applyAlignment="1" applyProtection="1">
      <alignment horizontal="center" vertical="center"/>
      <protection locked="0"/>
    </xf>
    <xf numFmtId="37" fontId="4" fillId="3" borderId="0" xfId="0" applyNumberFormat="1" applyFont="1" applyFill="1" applyAlignment="1" applyProtection="1">
      <alignment horizontal="centerContinuous" vertical="center"/>
    </xf>
    <xf numFmtId="0" fontId="3" fillId="3" borderId="0" xfId="0" applyFont="1" applyFill="1" applyAlignment="1" applyProtection="1">
      <alignment horizontal="centerContinuous" vertical="center"/>
    </xf>
    <xf numFmtId="0" fontId="4" fillId="3" borderId="0" xfId="0" applyFont="1" applyFill="1" applyAlignment="1" applyProtection="1">
      <alignment vertical="center"/>
    </xf>
    <xf numFmtId="0" fontId="4" fillId="5" borderId="0" xfId="0" applyFont="1" applyFill="1" applyAlignment="1" applyProtection="1">
      <alignment vertical="center"/>
    </xf>
    <xf numFmtId="0" fontId="3" fillId="5" borderId="0" xfId="0" applyFont="1" applyFill="1" applyAlignment="1" applyProtection="1">
      <alignment vertical="center"/>
    </xf>
    <xf numFmtId="37" fontId="4" fillId="6" borderId="0" xfId="0" applyNumberFormat="1" applyFont="1" applyFill="1" applyAlignment="1" applyProtection="1">
      <alignment horizontal="left" vertical="center"/>
    </xf>
    <xf numFmtId="0" fontId="3" fillId="6" borderId="0" xfId="0" applyFont="1" applyFill="1" applyAlignment="1" applyProtection="1">
      <alignment vertical="center"/>
    </xf>
    <xf numFmtId="0" fontId="3" fillId="3" borderId="0" xfId="0" applyFont="1" applyFill="1" applyAlignment="1" applyProtection="1">
      <alignment horizontal="center" vertical="center"/>
    </xf>
    <xf numFmtId="0" fontId="5" fillId="5" borderId="2" xfId="0" applyFont="1" applyFill="1" applyBorder="1" applyAlignment="1" applyProtection="1">
      <alignment horizontal="center" vertical="center"/>
    </xf>
    <xf numFmtId="0" fontId="3" fillId="5" borderId="3" xfId="0" applyFont="1" applyFill="1" applyBorder="1" applyAlignment="1" applyProtection="1">
      <alignment horizontal="center" vertical="center"/>
    </xf>
    <xf numFmtId="0" fontId="3" fillId="3" borderId="1" xfId="0" applyFont="1" applyFill="1" applyBorder="1" applyAlignment="1" applyProtection="1">
      <alignment horizontal="left" vertical="center"/>
    </xf>
    <xf numFmtId="0" fontId="3" fillId="4" borderId="1" xfId="0" applyFont="1" applyFill="1" applyBorder="1" applyAlignment="1" applyProtection="1">
      <alignment vertical="center"/>
      <protection locked="0"/>
    </xf>
    <xf numFmtId="3" fontId="3" fillId="4" borderId="1" xfId="0" applyNumberFormat="1" applyFont="1" applyFill="1" applyBorder="1" applyAlignment="1" applyProtection="1">
      <alignment vertical="center"/>
      <protection locked="0"/>
    </xf>
    <xf numFmtId="0" fontId="3" fillId="3" borderId="1" xfId="0" applyFont="1" applyFill="1" applyBorder="1" applyAlignment="1" applyProtection="1">
      <alignment vertical="center"/>
    </xf>
    <xf numFmtId="3" fontId="3" fillId="3" borderId="0" xfId="0" applyNumberFormat="1" applyFont="1" applyFill="1" applyAlignment="1" applyProtection="1">
      <alignment vertical="center"/>
    </xf>
    <xf numFmtId="164" fontId="3" fillId="3" borderId="0" xfId="0" applyNumberFormat="1" applyFont="1" applyFill="1" applyAlignment="1" applyProtection="1">
      <alignment vertical="center"/>
    </xf>
    <xf numFmtId="0" fontId="3" fillId="3" borderId="4" xfId="0" applyFont="1" applyFill="1" applyBorder="1" applyAlignment="1" applyProtection="1">
      <alignment horizontal="left" vertical="center"/>
    </xf>
    <xf numFmtId="0" fontId="3" fillId="3" borderId="4" xfId="0" applyFont="1" applyFill="1" applyBorder="1" applyAlignment="1" applyProtection="1">
      <alignment vertical="center"/>
    </xf>
    <xf numFmtId="3" fontId="3" fillId="3" borderId="5" xfId="0" applyNumberFormat="1" applyFont="1" applyFill="1" applyBorder="1" applyAlignment="1" applyProtection="1">
      <alignment vertical="center"/>
    </xf>
    <xf numFmtId="3" fontId="3" fillId="7" borderId="1" xfId="0" applyNumberFormat="1" applyFont="1" applyFill="1" applyBorder="1" applyAlignment="1" applyProtection="1">
      <alignment vertical="center"/>
    </xf>
    <xf numFmtId="37" fontId="3" fillId="3" borderId="0" xfId="0" applyNumberFormat="1" applyFont="1" applyFill="1" applyAlignment="1" applyProtection="1">
      <alignment horizontal="left" vertical="center"/>
    </xf>
    <xf numFmtId="0" fontId="3" fillId="3" borderId="6" xfId="0" applyFont="1" applyFill="1" applyBorder="1" applyAlignment="1" applyProtection="1">
      <alignment vertical="center"/>
    </xf>
    <xf numFmtId="3" fontId="3" fillId="3" borderId="1" xfId="0" applyNumberFormat="1" applyFont="1" applyFill="1" applyBorder="1" applyAlignment="1" applyProtection="1">
      <alignment vertical="center"/>
    </xf>
    <xf numFmtId="0" fontId="3" fillId="2" borderId="1" xfId="0" applyFont="1" applyFill="1" applyBorder="1" applyAlignment="1" applyProtection="1">
      <alignment vertical="center"/>
      <protection locked="0"/>
    </xf>
    <xf numFmtId="164" fontId="3" fillId="4" borderId="1" xfId="0" applyNumberFormat="1" applyFont="1" applyFill="1" applyBorder="1" applyAlignment="1" applyProtection="1">
      <alignment vertical="center"/>
      <protection locked="0"/>
    </xf>
    <xf numFmtId="164" fontId="3" fillId="7" borderId="7" xfId="0" applyNumberFormat="1" applyFont="1" applyFill="1" applyBorder="1" applyAlignment="1" applyProtection="1">
      <alignment vertical="center"/>
    </xf>
    <xf numFmtId="37" fontId="3" fillId="5" borderId="0" xfId="0" applyNumberFormat="1" applyFont="1" applyFill="1" applyAlignment="1" applyProtection="1">
      <alignment horizontal="left" vertical="center"/>
    </xf>
    <xf numFmtId="3" fontId="3" fillId="4" borderId="4" xfId="0" applyNumberFormat="1" applyFont="1" applyFill="1" applyBorder="1" applyAlignment="1" applyProtection="1">
      <alignment vertical="center"/>
      <protection locked="0"/>
    </xf>
    <xf numFmtId="3" fontId="3" fillId="4" borderId="5" xfId="0" applyNumberFormat="1" applyFont="1" applyFill="1" applyBorder="1" applyAlignment="1" applyProtection="1">
      <alignment vertical="center"/>
      <protection locked="0"/>
    </xf>
    <xf numFmtId="0" fontId="3" fillId="3" borderId="0" xfId="0" applyFont="1" applyFill="1" applyAlignment="1" applyProtection="1">
      <alignment vertical="center"/>
      <protection locked="0"/>
    </xf>
    <xf numFmtId="0" fontId="3" fillId="3" borderId="4" xfId="0" applyFont="1" applyFill="1" applyBorder="1" applyAlignment="1" applyProtection="1">
      <alignment horizontal="center" vertical="center"/>
    </xf>
    <xf numFmtId="0" fontId="3" fillId="5" borderId="4" xfId="0" applyFont="1" applyFill="1" applyBorder="1" applyAlignment="1" applyProtection="1">
      <alignment vertical="center"/>
    </xf>
    <xf numFmtId="0" fontId="3" fillId="3" borderId="6" xfId="0" applyFont="1" applyFill="1" applyBorder="1" applyAlignment="1" applyProtection="1">
      <alignment vertical="center"/>
      <protection locked="0"/>
    </xf>
    <xf numFmtId="3" fontId="3" fillId="2" borderId="1" xfId="0" applyNumberFormat="1" applyFont="1" applyFill="1" applyBorder="1" applyAlignment="1" applyProtection="1">
      <alignment vertical="center"/>
      <protection locked="0"/>
    </xf>
    <xf numFmtId="0" fontId="3" fillId="5" borderId="5" xfId="0" applyFont="1" applyFill="1" applyBorder="1" applyAlignment="1" applyProtection="1">
      <alignment vertical="center"/>
    </xf>
    <xf numFmtId="0" fontId="3" fillId="3" borderId="8" xfId="0" applyFont="1" applyFill="1" applyBorder="1" applyAlignment="1" applyProtection="1">
      <alignment vertical="center"/>
      <protection locked="0"/>
    </xf>
    <xf numFmtId="0" fontId="3" fillId="3" borderId="5" xfId="0" applyFont="1" applyFill="1" applyBorder="1" applyAlignment="1" applyProtection="1">
      <alignment vertical="center"/>
      <protection locked="0"/>
    </xf>
    <xf numFmtId="0" fontId="3" fillId="3" borderId="0" xfId="0" applyFont="1" applyFill="1" applyAlignment="1">
      <alignment vertical="center"/>
    </xf>
    <xf numFmtId="0" fontId="0" fillId="0" borderId="0" xfId="0" applyAlignment="1">
      <alignment vertical="center"/>
    </xf>
    <xf numFmtId="0" fontId="0" fillId="3" borderId="0" xfId="0" applyFill="1" applyAlignment="1">
      <alignment vertical="center"/>
    </xf>
    <xf numFmtId="0" fontId="4" fillId="8" borderId="0" xfId="0" applyFont="1" applyFill="1" applyAlignment="1" applyProtection="1">
      <alignment horizontal="left" vertical="center"/>
    </xf>
    <xf numFmtId="0" fontId="3" fillId="8" borderId="0" xfId="0" applyFont="1" applyFill="1" applyAlignment="1" applyProtection="1">
      <alignment vertical="center"/>
    </xf>
    <xf numFmtId="37" fontId="3" fillId="3" borderId="4" xfId="0" applyNumberFormat="1" applyFont="1" applyFill="1" applyBorder="1" applyAlignment="1" applyProtection="1">
      <alignment horizontal="left" vertical="center"/>
    </xf>
    <xf numFmtId="37" fontId="3" fillId="3" borderId="5" xfId="0" applyNumberFormat="1" applyFont="1" applyFill="1" applyBorder="1" applyAlignment="1" applyProtection="1">
      <alignment horizontal="left" vertical="center"/>
    </xf>
    <xf numFmtId="0" fontId="3" fillId="3" borderId="5" xfId="0" applyFont="1" applyFill="1" applyBorder="1" applyAlignment="1" applyProtection="1">
      <alignment vertical="center"/>
    </xf>
    <xf numFmtId="37" fontId="3" fillId="2" borderId="5" xfId="0" applyNumberFormat="1" applyFont="1" applyFill="1" applyBorder="1" applyAlignment="1" applyProtection="1">
      <alignment vertical="center"/>
      <protection locked="0"/>
    </xf>
    <xf numFmtId="0" fontId="3" fillId="3" borderId="0" xfId="0" applyFont="1" applyFill="1" applyBorder="1" applyAlignment="1" applyProtection="1">
      <alignment vertical="center"/>
    </xf>
    <xf numFmtId="37" fontId="3" fillId="3" borderId="0" xfId="0" applyNumberFormat="1" applyFont="1" applyFill="1" applyBorder="1" applyAlignment="1" applyProtection="1">
      <alignment vertical="center"/>
      <protection locked="0"/>
    </xf>
    <xf numFmtId="37" fontId="4" fillId="3" borderId="0" xfId="0" applyNumberFormat="1" applyFont="1" applyFill="1" applyBorder="1" applyAlignment="1" applyProtection="1">
      <alignment horizontal="left" vertical="center"/>
    </xf>
    <xf numFmtId="3" fontId="3" fillId="3" borderId="0" xfId="0" applyNumberFormat="1" applyFont="1" applyFill="1" applyBorder="1" applyAlignment="1" applyProtection="1">
      <alignment vertical="center"/>
      <protection locked="0"/>
    </xf>
    <xf numFmtId="0" fontId="17" fillId="3" borderId="0" xfId="0" applyFont="1" applyFill="1" applyBorder="1" applyAlignment="1" applyProtection="1">
      <alignment horizontal="center" vertical="center"/>
    </xf>
    <xf numFmtId="174" fontId="3" fillId="2" borderId="4" xfId="0" applyNumberFormat="1" applyFont="1" applyFill="1" applyBorder="1" applyAlignment="1" applyProtection="1">
      <alignment vertical="center"/>
      <protection locked="0"/>
    </xf>
    <xf numFmtId="174" fontId="3" fillId="2" borderId="5" xfId="0" applyNumberFormat="1" applyFont="1" applyFill="1" applyBorder="1" applyAlignment="1" applyProtection="1">
      <alignment vertical="center"/>
      <protection locked="0"/>
    </xf>
    <xf numFmtId="174" fontId="3" fillId="2" borderId="9" xfId="0" applyNumberFormat="1" applyFont="1" applyFill="1" applyBorder="1" applyAlignment="1" applyProtection="1">
      <alignment vertical="center"/>
      <protection locked="0"/>
    </xf>
    <xf numFmtId="0" fontId="0" fillId="3" borderId="0" xfId="0" applyFill="1" applyAlignment="1" applyProtection="1">
      <alignment vertical="center"/>
    </xf>
    <xf numFmtId="0" fontId="0" fillId="3" borderId="6" xfId="0" applyFill="1" applyBorder="1" applyAlignment="1" applyProtection="1">
      <alignment vertical="center"/>
    </xf>
    <xf numFmtId="174" fontId="3" fillId="7" borderId="1" xfId="0" applyNumberFormat="1" applyFont="1" applyFill="1" applyBorder="1" applyAlignment="1" applyProtection="1">
      <alignment vertical="center"/>
    </xf>
    <xf numFmtId="0" fontId="0" fillId="3" borderId="4" xfId="0" applyFill="1" applyBorder="1" applyAlignment="1" applyProtection="1">
      <alignment vertical="center"/>
    </xf>
    <xf numFmtId="37" fontId="4" fillId="5" borderId="0" xfId="0" applyNumberFormat="1" applyFont="1" applyFill="1" applyAlignment="1" applyProtection="1">
      <alignment horizontal="left" vertical="center"/>
    </xf>
    <xf numFmtId="3" fontId="3" fillId="5" borderId="0" xfId="0" applyNumberFormat="1" applyFont="1" applyFill="1" applyAlignment="1" applyProtection="1">
      <alignment vertical="center"/>
    </xf>
    <xf numFmtId="3" fontId="3" fillId="3" borderId="6" xfId="0" applyNumberFormat="1" applyFont="1" applyFill="1" applyBorder="1" applyAlignment="1" applyProtection="1">
      <alignment vertical="center"/>
    </xf>
    <xf numFmtId="3" fontId="3" fillId="3" borderId="8" xfId="0" applyNumberFormat="1" applyFont="1" applyFill="1" applyBorder="1" applyAlignment="1" applyProtection="1">
      <alignment vertical="center"/>
    </xf>
    <xf numFmtId="37" fontId="4" fillId="3" borderId="0" xfId="0" applyNumberFormat="1" applyFont="1" applyFill="1" applyAlignment="1" applyProtection="1">
      <alignment horizontal="left" vertical="center"/>
    </xf>
    <xf numFmtId="37" fontId="3" fillId="3" borderId="0" xfId="0" applyNumberFormat="1" applyFont="1" applyFill="1" applyBorder="1" applyAlignment="1" applyProtection="1">
      <alignment horizontal="left" vertical="center"/>
    </xf>
    <xf numFmtId="37" fontId="3" fillId="9" borderId="0" xfId="0" applyNumberFormat="1" applyFont="1" applyFill="1" applyBorder="1" applyAlignment="1" applyProtection="1">
      <alignment horizontal="left" vertical="center"/>
    </xf>
    <xf numFmtId="0" fontId="3" fillId="9" borderId="0" xfId="0" applyFont="1" applyFill="1" applyBorder="1" applyAlignment="1" applyProtection="1">
      <alignment vertical="center"/>
    </xf>
    <xf numFmtId="173" fontId="3" fillId="9" borderId="0" xfId="0" applyNumberFormat="1" applyFont="1" applyFill="1" applyBorder="1" applyAlignment="1" applyProtection="1">
      <alignment vertical="center"/>
      <protection locked="0"/>
    </xf>
    <xf numFmtId="0" fontId="3" fillId="8" borderId="2" xfId="0" applyFont="1" applyFill="1" applyBorder="1" applyAlignment="1">
      <alignment horizontal="center" vertical="center"/>
    </xf>
    <xf numFmtId="0" fontId="3" fillId="8" borderId="3" xfId="0" applyFont="1" applyFill="1" applyBorder="1" applyAlignment="1">
      <alignment horizontal="center" vertical="center"/>
    </xf>
    <xf numFmtId="0" fontId="21" fillId="3" borderId="0" xfId="0" applyFont="1" applyFill="1" applyAlignment="1">
      <alignment vertical="center"/>
    </xf>
    <xf numFmtId="0" fontId="22" fillId="3" borderId="0" xfId="0" applyFont="1" applyFill="1" applyAlignment="1">
      <alignment vertical="center"/>
    </xf>
    <xf numFmtId="37" fontId="3" fillId="3" borderId="1" xfId="0" applyNumberFormat="1" applyFont="1" applyFill="1" applyBorder="1" applyAlignment="1">
      <alignment vertical="center"/>
    </xf>
    <xf numFmtId="0" fontId="3" fillId="0" borderId="0" xfId="0" applyFont="1" applyAlignment="1">
      <alignment vertical="center"/>
    </xf>
    <xf numFmtId="0" fontId="4" fillId="3" borderId="0" xfId="0" applyFont="1" applyFill="1" applyAlignment="1" applyProtection="1">
      <alignment horizontal="center" vertical="center"/>
    </xf>
    <xf numFmtId="37" fontId="3" fillId="3" borderId="0" xfId="0" applyNumberFormat="1" applyFont="1" applyFill="1" applyAlignment="1" applyProtection="1">
      <alignment horizontal="centerContinuous" vertical="center"/>
    </xf>
    <xf numFmtId="0" fontId="5" fillId="3" borderId="0" xfId="0" applyFont="1" applyFill="1" applyAlignment="1" applyProtection="1">
      <alignment horizontal="center" vertical="center"/>
    </xf>
    <xf numFmtId="0" fontId="3" fillId="3" borderId="0" xfId="0" applyFont="1" applyFill="1" applyAlignment="1" applyProtection="1">
      <alignment horizontal="fill" vertical="center"/>
    </xf>
    <xf numFmtId="0" fontId="3" fillId="3" borderId="0" xfId="0" applyFont="1" applyFill="1" applyBorder="1" applyAlignment="1" applyProtection="1">
      <alignment horizontal="fill" vertical="center"/>
    </xf>
    <xf numFmtId="0" fontId="3" fillId="3" borderId="10" xfId="0" applyFont="1" applyFill="1" applyBorder="1" applyAlignment="1" applyProtection="1">
      <alignment horizontal="left" vertical="center"/>
    </xf>
    <xf numFmtId="0" fontId="3" fillId="3" borderId="2" xfId="0" applyFont="1" applyFill="1" applyBorder="1" applyAlignment="1" applyProtection="1">
      <alignment horizontal="center" vertical="center"/>
    </xf>
    <xf numFmtId="0" fontId="3" fillId="3" borderId="11" xfId="0" applyFont="1" applyFill="1" applyBorder="1" applyAlignment="1" applyProtection="1">
      <alignment horizontal="center" vertical="center"/>
    </xf>
    <xf numFmtId="0" fontId="3" fillId="0" borderId="0" xfId="0" applyFont="1" applyAlignment="1">
      <alignment horizontal="center" vertical="center"/>
    </xf>
    <xf numFmtId="0" fontId="3" fillId="3" borderId="10" xfId="0" applyFont="1" applyFill="1" applyBorder="1" applyAlignment="1" applyProtection="1">
      <alignment horizontal="center" vertical="center"/>
    </xf>
    <xf numFmtId="0" fontId="3" fillId="3" borderId="4" xfId="0" applyFont="1" applyFill="1" applyBorder="1" applyAlignment="1" applyProtection="1">
      <alignment horizontal="fill" vertical="center"/>
    </xf>
    <xf numFmtId="0" fontId="3" fillId="3" borderId="3" xfId="0" applyFont="1" applyFill="1" applyBorder="1" applyAlignment="1" applyProtection="1">
      <alignment horizontal="fill" vertical="center"/>
    </xf>
    <xf numFmtId="0" fontId="3" fillId="3" borderId="6" xfId="0" applyFont="1" applyFill="1" applyBorder="1" applyAlignment="1" applyProtection="1">
      <alignment horizontal="fill" vertical="center" wrapText="1"/>
    </xf>
    <xf numFmtId="0" fontId="3" fillId="3" borderId="6" xfId="0" applyFont="1" applyFill="1" applyBorder="1" applyAlignment="1" applyProtection="1">
      <alignment horizontal="fill" vertical="center"/>
    </xf>
    <xf numFmtId="0" fontId="3" fillId="3" borderId="12" xfId="0" applyFont="1" applyFill="1" applyBorder="1" applyAlignment="1" applyProtection="1">
      <alignment horizontal="fill" vertical="center"/>
    </xf>
    <xf numFmtId="0" fontId="3" fillId="3" borderId="1" xfId="0" applyFont="1" applyFill="1" applyBorder="1" applyAlignment="1" applyProtection="1">
      <alignment horizontal="center" vertical="center"/>
    </xf>
    <xf numFmtId="0" fontId="3" fillId="3" borderId="11" xfId="0" applyFont="1" applyFill="1" applyBorder="1" applyAlignment="1" applyProtection="1">
      <alignment horizontal="fill" vertical="center"/>
    </xf>
    <xf numFmtId="37" fontId="3" fillId="3" borderId="12" xfId="0" applyNumberFormat="1" applyFont="1" applyFill="1" applyBorder="1" applyAlignment="1" applyProtection="1">
      <alignment horizontal="left" vertical="center"/>
    </xf>
    <xf numFmtId="0" fontId="3" fillId="3" borderId="3" xfId="0" applyFont="1" applyFill="1" applyBorder="1" applyAlignment="1" applyProtection="1">
      <alignment horizontal="center" vertical="center"/>
    </xf>
    <xf numFmtId="0" fontId="17" fillId="3" borderId="12" xfId="0" applyFont="1" applyFill="1" applyBorder="1" applyAlignment="1" applyProtection="1">
      <alignment horizontal="left" vertical="center"/>
    </xf>
    <xf numFmtId="0" fontId="3" fillId="3" borderId="8" xfId="0" applyFont="1" applyFill="1" applyBorder="1" applyAlignment="1" applyProtection="1">
      <alignment vertical="center"/>
    </xf>
    <xf numFmtId="0" fontId="17" fillId="3" borderId="1" xfId="0" applyFont="1" applyFill="1" applyBorder="1" applyAlignment="1" applyProtection="1">
      <alignment horizontal="center" vertical="center"/>
    </xf>
    <xf numFmtId="0" fontId="3" fillId="3" borderId="13" xfId="0" applyFont="1" applyFill="1" applyBorder="1" applyAlignment="1" applyProtection="1">
      <alignment vertical="center"/>
    </xf>
    <xf numFmtId="0" fontId="3" fillId="3" borderId="12" xfId="0" applyFont="1" applyFill="1" applyBorder="1" applyAlignment="1" applyProtection="1">
      <alignment horizontal="left" vertical="center"/>
    </xf>
    <xf numFmtId="3" fontId="3" fillId="3" borderId="1" xfId="0" applyNumberFormat="1" applyFont="1" applyFill="1" applyBorder="1" applyAlignment="1" applyProtection="1">
      <alignment horizontal="center" vertical="center"/>
    </xf>
    <xf numFmtId="0" fontId="3" fillId="3" borderId="12" xfId="0" applyFont="1" applyFill="1" applyBorder="1" applyAlignment="1" applyProtection="1">
      <alignment vertical="center"/>
    </xf>
    <xf numFmtId="0" fontId="3" fillId="3" borderId="8" xfId="0" applyFont="1" applyFill="1" applyBorder="1" applyAlignment="1" applyProtection="1">
      <alignment horizontal="center" vertical="center"/>
    </xf>
    <xf numFmtId="37" fontId="3" fillId="3" borderId="1" xfId="0" applyNumberFormat="1" applyFont="1" applyFill="1" applyBorder="1" applyAlignment="1" applyProtection="1">
      <alignment vertical="center"/>
    </xf>
    <xf numFmtId="0" fontId="3" fillId="3" borderId="14" xfId="0" applyFont="1" applyFill="1" applyBorder="1" applyAlignment="1" applyProtection="1">
      <alignment vertical="center"/>
    </xf>
    <xf numFmtId="0" fontId="3" fillId="3" borderId="9" xfId="0" applyFont="1" applyFill="1" applyBorder="1" applyAlignment="1" applyProtection="1">
      <alignment vertical="center"/>
    </xf>
    <xf numFmtId="164" fontId="3" fillId="3" borderId="2" xfId="0" applyNumberFormat="1" applyFont="1" applyFill="1" applyBorder="1" applyAlignment="1" applyProtection="1">
      <alignment vertical="center"/>
    </xf>
    <xf numFmtId="0" fontId="4" fillId="3" borderId="12" xfId="0" applyFont="1" applyFill="1" applyBorder="1" applyAlignment="1" applyProtection="1">
      <alignment horizontal="left" vertical="center"/>
    </xf>
    <xf numFmtId="0" fontId="3" fillId="3" borderId="1" xfId="0" applyFont="1" applyFill="1" applyBorder="1" applyAlignment="1" applyProtection="1">
      <alignment horizontal="fill" vertical="center"/>
    </xf>
    <xf numFmtId="3" fontId="3" fillId="7" borderId="7" xfId="0" applyNumberFormat="1" applyFont="1" applyFill="1" applyBorder="1" applyAlignment="1" applyProtection="1">
      <alignment vertical="center"/>
    </xf>
    <xf numFmtId="37" fontId="3" fillId="7" borderId="7" xfId="0" applyNumberFormat="1" applyFont="1" applyFill="1" applyBorder="1" applyAlignment="1" applyProtection="1">
      <alignment vertical="center"/>
    </xf>
    <xf numFmtId="165" fontId="3" fillId="3" borderId="1" xfId="0" applyNumberFormat="1" applyFont="1" applyFill="1" applyBorder="1" applyAlignment="1" applyProtection="1">
      <alignment horizontal="center" vertical="center"/>
    </xf>
    <xf numFmtId="0" fontId="7" fillId="3" borderId="0" xfId="0" applyFont="1" applyFill="1" applyAlignment="1" applyProtection="1">
      <alignment horizontal="center" vertical="center"/>
    </xf>
    <xf numFmtId="0" fontId="0" fillId="3" borderId="5" xfId="0" applyFill="1" applyBorder="1" applyAlignment="1">
      <alignment vertical="center"/>
    </xf>
    <xf numFmtId="0" fontId="0" fillId="3" borderId="8" xfId="0" applyFill="1" applyBorder="1" applyAlignment="1">
      <alignment vertical="center"/>
    </xf>
    <xf numFmtId="0" fontId="3" fillId="10" borderId="1" xfId="0" applyFont="1" applyFill="1" applyBorder="1" applyAlignment="1">
      <alignment horizontal="center" vertical="center" shrinkToFit="1"/>
    </xf>
    <xf numFmtId="0" fontId="3" fillId="3" borderId="5" xfId="0" applyFont="1" applyFill="1" applyBorder="1" applyAlignment="1">
      <alignment vertical="center"/>
    </xf>
    <xf numFmtId="165" fontId="3" fillId="3" borderId="0" xfId="0" applyNumberFormat="1" applyFont="1" applyFill="1" applyBorder="1" applyAlignment="1" applyProtection="1">
      <alignment vertical="center"/>
    </xf>
    <xf numFmtId="0" fontId="3" fillId="3" borderId="0" xfId="0" applyFont="1" applyFill="1" applyAlignment="1" applyProtection="1">
      <alignment horizontal="right" vertical="center"/>
    </xf>
    <xf numFmtId="169" fontId="3" fillId="3" borderId="0" xfId="1" applyNumberFormat="1" applyFont="1" applyFill="1" applyBorder="1" applyAlignment="1" applyProtection="1">
      <alignment vertical="center"/>
      <protection locked="0"/>
    </xf>
    <xf numFmtId="169" fontId="3" fillId="2" borderId="1" xfId="1" applyNumberFormat="1" applyFont="1" applyFill="1" applyBorder="1" applyAlignment="1" applyProtection="1">
      <alignment vertical="center"/>
      <protection locked="0"/>
    </xf>
    <xf numFmtId="0" fontId="3" fillId="3" borderId="0" xfId="0" applyFont="1" applyFill="1" applyBorder="1" applyAlignment="1" applyProtection="1">
      <alignment vertical="center"/>
      <protection locked="0"/>
    </xf>
    <xf numFmtId="0" fontId="3" fillId="0" borderId="0" xfId="0" applyFont="1" applyAlignment="1" applyProtection="1">
      <alignment horizontal="left" vertical="center"/>
      <protection locked="0"/>
    </xf>
    <xf numFmtId="0" fontId="3" fillId="0" borderId="0" xfId="0" applyFont="1" applyAlignment="1" applyProtection="1">
      <alignment vertical="center"/>
    </xf>
    <xf numFmtId="0" fontId="4" fillId="3" borderId="0" xfId="0" applyFont="1" applyFill="1" applyAlignment="1" applyProtection="1">
      <alignment horizontal="center" vertical="center" wrapText="1"/>
    </xf>
    <xf numFmtId="0" fontId="3" fillId="3" borderId="0" xfId="0" quotePrefix="1" applyFont="1" applyFill="1" applyAlignment="1" applyProtection="1">
      <alignment vertical="center"/>
    </xf>
    <xf numFmtId="3" fontId="3" fillId="3" borderId="0" xfId="0" quotePrefix="1" applyNumberFormat="1" applyFont="1" applyFill="1" applyAlignment="1" applyProtection="1">
      <alignment vertical="center"/>
    </xf>
    <xf numFmtId="3" fontId="3" fillId="7" borderId="5" xfId="0" applyNumberFormat="1" applyFont="1" applyFill="1" applyBorder="1" applyAlignment="1" applyProtection="1">
      <alignment vertical="center"/>
    </xf>
    <xf numFmtId="3" fontId="3" fillId="3" borderId="4" xfId="0" applyNumberFormat="1" applyFont="1" applyFill="1" applyBorder="1" applyAlignment="1" applyProtection="1">
      <alignment vertical="center"/>
    </xf>
    <xf numFmtId="3" fontId="3" fillId="3" borderId="0" xfId="0" applyNumberFormat="1" applyFont="1" applyFill="1" applyBorder="1" applyAlignment="1" applyProtection="1">
      <alignment vertical="center"/>
    </xf>
    <xf numFmtId="3" fontId="3" fillId="3" borderId="9" xfId="0" applyNumberFormat="1" applyFont="1" applyFill="1" applyBorder="1" applyAlignment="1" applyProtection="1">
      <alignment vertical="center"/>
    </xf>
    <xf numFmtId="168" fontId="3" fillId="3" borderId="4" xfId="0" applyNumberFormat="1" applyFont="1" applyFill="1" applyBorder="1" applyAlignment="1" applyProtection="1">
      <alignment vertical="center"/>
    </xf>
    <xf numFmtId="0" fontId="3" fillId="3" borderId="0" xfId="0" quotePrefix="1" applyFont="1" applyFill="1" applyBorder="1" applyAlignment="1" applyProtection="1">
      <alignment vertical="center"/>
    </xf>
    <xf numFmtId="3" fontId="3" fillId="3" borderId="15" xfId="0" applyNumberFormat="1" applyFont="1" applyFill="1" applyBorder="1" applyAlignment="1" applyProtection="1">
      <alignment vertical="center"/>
    </xf>
    <xf numFmtId="0" fontId="3" fillId="3" borderId="4" xfId="1" applyNumberFormat="1" applyFont="1" applyFill="1" applyBorder="1" applyAlignment="1" applyProtection="1">
      <alignment vertical="center"/>
    </xf>
    <xf numFmtId="37" fontId="3" fillId="3" borderId="0" xfId="0" applyNumberFormat="1" applyFont="1" applyFill="1" applyAlignment="1" applyProtection="1">
      <alignment horizontal="right" vertical="center"/>
    </xf>
    <xf numFmtId="37" fontId="3" fillId="3" borderId="0" xfId="0" applyNumberFormat="1" applyFont="1" applyFill="1" applyAlignment="1" applyProtection="1">
      <alignment vertical="center"/>
    </xf>
    <xf numFmtId="37" fontId="4" fillId="3" borderId="0" xfId="0" applyNumberFormat="1" applyFont="1" applyFill="1" applyBorder="1" applyAlignment="1" applyProtection="1">
      <alignment horizontal="center" vertical="center"/>
    </xf>
    <xf numFmtId="0" fontId="3" fillId="3" borderId="2" xfId="0" applyFont="1" applyFill="1" applyBorder="1" applyAlignment="1" applyProtection="1">
      <alignment horizontal="center" vertical="center" wrapText="1"/>
    </xf>
    <xf numFmtId="37" fontId="3" fillId="3" borderId="4" xfId="0" applyNumberFormat="1" applyFont="1" applyFill="1" applyBorder="1" applyAlignment="1" applyProtection="1">
      <alignment vertical="center"/>
    </xf>
    <xf numFmtId="166" fontId="3" fillId="7" borderId="4" xfId="0" applyNumberFormat="1" applyFont="1" applyFill="1" applyBorder="1" applyAlignment="1" applyProtection="1">
      <alignment vertical="center"/>
    </xf>
    <xf numFmtId="166" fontId="3" fillId="3" borderId="0" xfId="0" applyNumberFormat="1" applyFont="1" applyFill="1" applyBorder="1" applyAlignment="1" applyProtection="1">
      <alignment vertical="center"/>
    </xf>
    <xf numFmtId="167" fontId="3" fillId="7" borderId="4" xfId="0" applyNumberFormat="1" applyFont="1" applyFill="1" applyBorder="1" applyAlignment="1" applyProtection="1">
      <alignment vertical="center"/>
    </xf>
    <xf numFmtId="167" fontId="3" fillId="3" borderId="0" xfId="0" applyNumberFormat="1" applyFont="1" applyFill="1" applyBorder="1" applyAlignment="1" applyProtection="1">
      <alignment vertical="center"/>
    </xf>
    <xf numFmtId="0" fontId="3" fillId="0" borderId="0" xfId="0" applyFont="1" applyFill="1" applyAlignment="1" applyProtection="1">
      <alignment vertical="center"/>
      <protection locked="0"/>
    </xf>
    <xf numFmtId="37" fontId="3" fillId="3" borderId="0" xfId="0" applyNumberFormat="1" applyFont="1" applyFill="1" applyAlignment="1">
      <alignment vertical="center"/>
    </xf>
    <xf numFmtId="0" fontId="4" fillId="3" borderId="4" xfId="0" applyFont="1" applyFill="1" applyBorder="1" applyAlignment="1" applyProtection="1">
      <alignment horizontal="center" vertical="center"/>
    </xf>
    <xf numFmtId="0" fontId="4" fillId="3" borderId="2"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1" fontId="3" fillId="3" borderId="3" xfId="0" applyNumberFormat="1" applyFont="1" applyFill="1" applyBorder="1" applyAlignment="1" applyProtection="1">
      <alignment horizontal="center" vertical="center"/>
    </xf>
    <xf numFmtId="0" fontId="3" fillId="0" borderId="0" xfId="0" applyFont="1" applyAlignment="1" applyProtection="1">
      <alignment horizontal="center" vertical="center"/>
      <protection locked="0"/>
    </xf>
    <xf numFmtId="0" fontId="3" fillId="2" borderId="3" xfId="0" applyFont="1" applyFill="1" applyBorder="1" applyAlignment="1" applyProtection="1">
      <alignment vertical="center"/>
      <protection locked="0"/>
    </xf>
    <xf numFmtId="169" fontId="3" fillId="2" borderId="3" xfId="1" applyNumberFormat="1" applyFont="1" applyFill="1" applyBorder="1" applyAlignment="1" applyProtection="1">
      <alignment vertical="center"/>
      <protection locked="0"/>
    </xf>
    <xf numFmtId="0" fontId="5" fillId="2" borderId="1" xfId="0" applyFont="1" applyFill="1" applyBorder="1" applyAlignment="1" applyProtection="1">
      <alignment vertical="center"/>
      <protection locked="0"/>
    </xf>
    <xf numFmtId="0" fontId="4" fillId="3" borderId="1" xfId="0" applyFont="1" applyFill="1" applyBorder="1" applyAlignment="1" applyProtection="1">
      <alignment horizontal="center" vertical="center"/>
    </xf>
    <xf numFmtId="3" fontId="3" fillId="7" borderId="1" xfId="0" applyNumberFormat="1" applyFont="1" applyFill="1" applyBorder="1" applyAlignment="1" applyProtection="1">
      <alignment horizontal="right" vertical="center"/>
    </xf>
    <xf numFmtId="0" fontId="3" fillId="3" borderId="0" xfId="0" applyFont="1" applyFill="1" applyAlignment="1" applyProtection="1">
      <alignment horizontal="center" vertical="center"/>
      <protection locked="0"/>
    </xf>
    <xf numFmtId="37" fontId="4" fillId="3" borderId="1" xfId="0" applyNumberFormat="1" applyFont="1" applyFill="1" applyBorder="1" applyAlignment="1" applyProtection="1">
      <alignment horizontal="center" vertical="center"/>
    </xf>
    <xf numFmtId="0" fontId="3" fillId="3" borderId="1" xfId="0" applyFont="1" applyFill="1" applyBorder="1" applyAlignment="1" applyProtection="1">
      <alignment horizontal="right" vertical="center"/>
    </xf>
    <xf numFmtId="0" fontId="3" fillId="2" borderId="1" xfId="0" applyFont="1" applyFill="1" applyBorder="1" applyAlignment="1" applyProtection="1">
      <alignment horizontal="right" vertical="center"/>
      <protection locked="0"/>
    </xf>
    <xf numFmtId="0" fontId="3" fillId="9" borderId="0" xfId="0" applyFont="1" applyFill="1" applyAlignment="1" applyProtection="1">
      <alignment vertical="center"/>
      <protection locked="0"/>
    </xf>
    <xf numFmtId="0" fontId="3" fillId="3" borderId="0" xfId="0" applyNumberFormat="1" applyFont="1" applyFill="1" applyAlignment="1" applyProtection="1">
      <alignment horizontal="right" vertical="center"/>
    </xf>
    <xf numFmtId="0" fontId="4" fillId="3" borderId="0" xfId="422" applyFont="1" applyFill="1" applyAlignment="1" applyProtection="1">
      <alignment horizontal="centerContinuous" vertical="center"/>
    </xf>
    <xf numFmtId="0" fontId="3" fillId="3" borderId="0" xfId="421" applyFont="1" applyFill="1" applyAlignment="1" applyProtection="1">
      <alignment horizontal="centerContinuous" vertical="center"/>
    </xf>
    <xf numFmtId="0" fontId="3" fillId="0" borderId="0" xfId="421" applyFont="1" applyAlignment="1" applyProtection="1">
      <alignment vertical="center"/>
      <protection locked="0"/>
    </xf>
    <xf numFmtId="0" fontId="3" fillId="3" borderId="0" xfId="421" applyFont="1" applyFill="1" applyAlignment="1" applyProtection="1">
      <alignment vertical="center"/>
    </xf>
    <xf numFmtId="0" fontId="3" fillId="3" borderId="14" xfId="0" applyFont="1" applyFill="1" applyBorder="1" applyAlignment="1" applyProtection="1">
      <alignment horizontal="centerContinuous" vertical="center"/>
    </xf>
    <xf numFmtId="0" fontId="3" fillId="3" borderId="16" xfId="0" applyFont="1" applyFill="1" applyBorder="1" applyAlignment="1" applyProtection="1">
      <alignment horizontal="centerContinuous" vertical="center"/>
    </xf>
    <xf numFmtId="0" fontId="3" fillId="3" borderId="13" xfId="0" applyFont="1" applyFill="1" applyBorder="1" applyAlignment="1" applyProtection="1">
      <alignment horizontal="centerContinuous" vertical="center"/>
    </xf>
    <xf numFmtId="0" fontId="3" fillId="3" borderId="6" xfId="0" applyFont="1" applyFill="1" applyBorder="1" applyAlignment="1" applyProtection="1">
      <alignment horizontal="centerContinuous" vertical="center"/>
    </xf>
    <xf numFmtId="14" fontId="3" fillId="3" borderId="3" xfId="0" quotePrefix="1" applyNumberFormat="1" applyFont="1" applyFill="1" applyBorder="1" applyAlignment="1" applyProtection="1">
      <alignment horizontal="center" vertical="center"/>
    </xf>
    <xf numFmtId="170" fontId="3" fillId="3" borderId="1" xfId="0" applyNumberFormat="1" applyFont="1" applyFill="1" applyBorder="1" applyAlignment="1" applyProtection="1">
      <alignment horizontal="left" vertical="center"/>
    </xf>
    <xf numFmtId="171" fontId="3" fillId="3" borderId="1" xfId="0" applyNumberFormat="1" applyFont="1" applyFill="1" applyBorder="1" applyAlignment="1" applyProtection="1">
      <alignment horizontal="left" vertical="center"/>
    </xf>
    <xf numFmtId="0" fontId="3" fillId="2" borderId="1" xfId="0" applyFont="1" applyFill="1" applyBorder="1" applyAlignment="1" applyProtection="1">
      <alignment horizontal="left" vertical="center"/>
      <protection locked="0"/>
    </xf>
    <xf numFmtId="171" fontId="3" fillId="2" borderId="1" xfId="0" applyNumberFormat="1" applyFont="1" applyFill="1" applyBorder="1" applyAlignment="1" applyProtection="1">
      <alignment horizontal="left" vertical="center"/>
      <protection locked="0"/>
    </xf>
    <xf numFmtId="2" fontId="3" fillId="4" borderId="1" xfId="0" applyNumberFormat="1" applyFont="1" applyFill="1" applyBorder="1" applyAlignment="1" applyProtection="1">
      <alignment vertical="center"/>
      <protection locked="0"/>
    </xf>
    <xf numFmtId="171" fontId="3" fillId="4" borderId="1" xfId="0" applyNumberFormat="1" applyFont="1" applyFill="1" applyBorder="1" applyAlignment="1" applyProtection="1">
      <alignment vertical="center"/>
      <protection locked="0"/>
    </xf>
    <xf numFmtId="37" fontId="3" fillId="4" borderId="1" xfId="0" applyNumberFormat="1" applyFont="1" applyFill="1" applyBorder="1" applyAlignment="1" applyProtection="1">
      <alignment vertical="center"/>
      <protection locked="0"/>
    </xf>
    <xf numFmtId="0" fontId="3" fillId="3" borderId="1" xfId="0" applyFont="1" applyFill="1" applyBorder="1" applyAlignment="1" applyProtection="1">
      <alignment vertical="center"/>
      <protection locked="0"/>
    </xf>
    <xf numFmtId="170" fontId="3" fillId="3" borderId="1" xfId="0" applyNumberFormat="1" applyFont="1" applyFill="1" applyBorder="1" applyAlignment="1" applyProtection="1">
      <alignment vertical="center"/>
      <protection locked="0"/>
    </xf>
    <xf numFmtId="2" fontId="3" fillId="3" borderId="1" xfId="0" applyNumberFormat="1" applyFont="1" applyFill="1" applyBorder="1" applyAlignment="1" applyProtection="1">
      <alignment vertical="center"/>
      <protection locked="0"/>
    </xf>
    <xf numFmtId="3" fontId="3" fillId="3" borderId="1" xfId="0" applyNumberFormat="1" applyFont="1" applyFill="1" applyBorder="1" applyAlignment="1" applyProtection="1">
      <alignment vertical="center"/>
      <protection locked="0"/>
    </xf>
    <xf numFmtId="37" fontId="3" fillId="7" borderId="1" xfId="0" applyNumberFormat="1" applyFont="1" applyFill="1" applyBorder="1" applyAlignment="1" applyProtection="1">
      <alignment vertical="center"/>
    </xf>
    <xf numFmtId="171" fontId="3" fillId="3" borderId="1" xfId="0" applyNumberFormat="1" applyFont="1" applyFill="1" applyBorder="1" applyAlignment="1" applyProtection="1">
      <alignment vertical="center"/>
    </xf>
    <xf numFmtId="170" fontId="3" fillId="3" borderId="1" xfId="0" applyNumberFormat="1" applyFont="1" applyFill="1" applyBorder="1" applyAlignment="1" applyProtection="1">
      <alignment vertical="center"/>
    </xf>
    <xf numFmtId="2" fontId="3" fillId="3" borderId="1" xfId="0" applyNumberFormat="1" applyFont="1" applyFill="1" applyBorder="1" applyAlignment="1" applyProtection="1">
      <alignment vertical="center"/>
    </xf>
    <xf numFmtId="0" fontId="3" fillId="3" borderId="1" xfId="421" applyFont="1" applyFill="1" applyBorder="1" applyAlignment="1" applyProtection="1">
      <alignment horizontal="left" vertical="center"/>
    </xf>
    <xf numFmtId="37" fontId="4" fillId="7" borderId="1" xfId="421" applyNumberFormat="1" applyFont="1" applyFill="1" applyBorder="1" applyAlignment="1" applyProtection="1">
      <alignment vertical="center"/>
    </xf>
    <xf numFmtId="0" fontId="3" fillId="3" borderId="0" xfId="422" applyFont="1" applyFill="1" applyAlignment="1" applyProtection="1">
      <alignment horizontal="centerContinuous" vertical="center"/>
    </xf>
    <xf numFmtId="0" fontId="3" fillId="3" borderId="0" xfId="422" applyFont="1" applyFill="1" applyAlignment="1" applyProtection="1">
      <alignment vertical="center"/>
    </xf>
    <xf numFmtId="0" fontId="3" fillId="0" borderId="0" xfId="422" applyFont="1" applyAlignment="1">
      <alignment vertical="center"/>
    </xf>
    <xf numFmtId="0" fontId="3" fillId="3" borderId="2" xfId="0" applyFont="1" applyFill="1" applyBorder="1" applyAlignment="1" applyProtection="1">
      <alignment vertical="center"/>
    </xf>
    <xf numFmtId="0" fontId="3" fillId="3" borderId="17" xfId="422" applyFont="1" applyFill="1" applyBorder="1" applyAlignment="1" applyProtection="1">
      <alignment vertical="center"/>
    </xf>
    <xf numFmtId="0" fontId="3" fillId="3" borderId="0" xfId="422" applyFont="1" applyFill="1" applyBorder="1" applyAlignment="1" applyProtection="1">
      <alignment vertical="center"/>
    </xf>
    <xf numFmtId="0" fontId="3" fillId="3" borderId="10" xfId="0" applyFont="1" applyFill="1" applyBorder="1" applyAlignment="1" applyProtection="1">
      <alignment vertical="center"/>
    </xf>
    <xf numFmtId="0" fontId="6" fillId="3" borderId="3" xfId="0" applyFont="1" applyFill="1" applyBorder="1" applyAlignment="1" applyProtection="1">
      <alignment horizontal="center" vertical="center"/>
    </xf>
    <xf numFmtId="1" fontId="3" fillId="4" borderId="1" xfId="0" applyNumberFormat="1" applyFont="1" applyFill="1" applyBorder="1" applyAlignment="1" applyProtection="1">
      <alignment vertical="center"/>
      <protection locked="0"/>
    </xf>
    <xf numFmtId="0" fontId="3" fillId="3" borderId="9" xfId="421" applyFont="1" applyFill="1" applyBorder="1" applyAlignment="1" applyProtection="1">
      <alignment vertical="center"/>
      <protection locked="0"/>
    </xf>
    <xf numFmtId="3" fontId="4" fillId="3" borderId="1" xfId="421" applyNumberFormat="1" applyFont="1" applyFill="1" applyBorder="1" applyAlignment="1" applyProtection="1">
      <alignment vertical="center"/>
    </xf>
    <xf numFmtId="37" fontId="4" fillId="3" borderId="1" xfId="421" applyNumberFormat="1" applyFont="1" applyFill="1" applyBorder="1" applyAlignment="1" applyProtection="1">
      <alignment vertical="center"/>
    </xf>
    <xf numFmtId="0" fontId="3" fillId="9" borderId="0" xfId="421" applyFont="1" applyFill="1" applyAlignment="1" applyProtection="1">
      <alignment vertical="center"/>
      <protection locked="0"/>
    </xf>
    <xf numFmtId="165" fontId="3" fillId="3" borderId="0" xfId="0" applyNumberFormat="1" applyFont="1" applyFill="1" applyAlignment="1" applyProtection="1">
      <alignment vertical="center"/>
    </xf>
    <xf numFmtId="37" fontId="3" fillId="3" borderId="2" xfId="0" applyNumberFormat="1" applyFont="1" applyFill="1" applyBorder="1" applyAlignment="1" applyProtection="1">
      <alignment horizontal="center" vertical="center"/>
    </xf>
    <xf numFmtId="0" fontId="3" fillId="3" borderId="3" xfId="0" applyNumberFormat="1" applyFont="1" applyFill="1" applyBorder="1" applyAlignment="1" applyProtection="1">
      <alignment horizontal="center" vertical="center"/>
    </xf>
    <xf numFmtId="3" fontId="3" fillId="4" borderId="8" xfId="0" applyNumberFormat="1" applyFont="1" applyFill="1" applyBorder="1" applyAlignment="1" applyProtection="1">
      <alignment vertical="center"/>
      <protection locked="0"/>
    </xf>
    <xf numFmtId="0" fontId="3" fillId="3" borderId="13" xfId="0" applyFont="1" applyFill="1" applyBorder="1" applyAlignment="1" applyProtection="1">
      <alignment horizontal="left" vertical="center"/>
    </xf>
    <xf numFmtId="37" fontId="3" fillId="3" borderId="12" xfId="0" applyNumberFormat="1" applyFont="1" applyFill="1" applyBorder="1" applyAlignment="1" applyProtection="1">
      <alignment vertical="center"/>
    </xf>
    <xf numFmtId="37" fontId="3" fillId="4" borderId="12" xfId="0" applyNumberFormat="1" applyFont="1" applyFill="1" applyBorder="1" applyAlignment="1" applyProtection="1">
      <alignment vertical="center"/>
      <protection locked="0"/>
    </xf>
    <xf numFmtId="0" fontId="3" fillId="2" borderId="12" xfId="0" applyFont="1" applyFill="1" applyBorder="1" applyAlignment="1" applyProtection="1">
      <alignment horizontal="left" vertical="center"/>
      <protection locked="0"/>
    </xf>
    <xf numFmtId="37" fontId="3" fillId="3" borderId="12" xfId="0" applyNumberFormat="1" applyFont="1" applyFill="1" applyBorder="1" applyAlignment="1" applyProtection="1">
      <alignment horizontal="left" vertical="center"/>
      <protection locked="0"/>
    </xf>
    <xf numFmtId="37" fontId="3" fillId="4" borderId="8" xfId="0" applyNumberFormat="1" applyFont="1" applyFill="1" applyBorder="1" applyAlignment="1" applyProtection="1">
      <alignment vertical="center"/>
      <protection locked="0"/>
    </xf>
    <xf numFmtId="3" fontId="21" fillId="10" borderId="8" xfId="0" applyNumberFormat="1" applyFont="1" applyFill="1" applyBorder="1" applyAlignment="1" applyProtection="1">
      <alignment horizontal="center" vertical="center"/>
    </xf>
    <xf numFmtId="37" fontId="4" fillId="3" borderId="12" xfId="0" applyNumberFormat="1" applyFont="1" applyFill="1" applyBorder="1" applyAlignment="1" applyProtection="1">
      <alignment horizontal="left" vertical="center"/>
    </xf>
    <xf numFmtId="3" fontId="4" fillId="7" borderId="1" xfId="0" applyNumberFormat="1" applyFont="1" applyFill="1" applyBorder="1" applyAlignment="1" applyProtection="1">
      <alignment vertical="center"/>
    </xf>
    <xf numFmtId="0" fontId="18" fillId="3" borderId="0" xfId="0" applyFont="1" applyFill="1" applyAlignment="1" applyProtection="1">
      <alignment horizontal="center" vertical="center"/>
    </xf>
    <xf numFmtId="1" fontId="3" fillId="3" borderId="0" xfId="0" applyNumberFormat="1" applyFont="1" applyFill="1" applyBorder="1" applyAlignment="1" applyProtection="1">
      <alignment horizontal="right" vertical="center"/>
    </xf>
    <xf numFmtId="37" fontId="3" fillId="3" borderId="0" xfId="0" quotePrefix="1" applyNumberFormat="1" applyFont="1" applyFill="1" applyAlignment="1" applyProtection="1">
      <alignment horizontal="right" vertical="center"/>
    </xf>
    <xf numFmtId="37" fontId="3" fillId="3" borderId="0" xfId="0" applyNumberFormat="1" applyFont="1" applyFill="1" applyBorder="1" applyAlignment="1" applyProtection="1">
      <alignment vertical="center"/>
    </xf>
    <xf numFmtId="3" fontId="3" fillId="3" borderId="1" xfId="1" applyNumberFormat="1" applyFont="1" applyFill="1" applyBorder="1" applyAlignment="1" applyProtection="1">
      <alignment horizontal="right" vertical="center"/>
    </xf>
    <xf numFmtId="37" fontId="3" fillId="3" borderId="13" xfId="0" applyNumberFormat="1" applyFont="1" applyFill="1" applyBorder="1" applyAlignment="1" applyProtection="1">
      <alignment horizontal="left" vertical="center"/>
    </xf>
    <xf numFmtId="3" fontId="3" fillId="3" borderId="1" xfId="0" applyNumberFormat="1" applyFont="1" applyFill="1" applyBorder="1" applyAlignment="1" applyProtection="1">
      <alignment horizontal="fill" vertical="center"/>
    </xf>
    <xf numFmtId="3" fontId="3" fillId="4" borderId="1" xfId="0" applyNumberFormat="1" applyFont="1" applyFill="1" applyBorder="1" applyAlignment="1" applyProtection="1">
      <alignment horizontal="right" vertical="center"/>
      <protection locked="0"/>
    </xf>
    <xf numFmtId="3" fontId="3" fillId="3" borderId="1" xfId="0" applyNumberFormat="1" applyFont="1" applyFill="1" applyBorder="1" applyAlignment="1" applyProtection="1">
      <alignment horizontal="right" vertical="center"/>
    </xf>
    <xf numFmtId="0" fontId="3" fillId="3" borderId="12" xfId="0" applyNumberFormat="1" applyFont="1" applyFill="1" applyBorder="1" applyAlignment="1" applyProtection="1">
      <alignment horizontal="left" vertical="center"/>
    </xf>
    <xf numFmtId="0" fontId="3" fillId="4" borderId="12" xfId="0" applyNumberFormat="1" applyFont="1" applyFill="1" applyBorder="1" applyAlignment="1" applyProtection="1">
      <alignment horizontal="left" vertical="center"/>
      <protection locked="0"/>
    </xf>
    <xf numFmtId="3" fontId="3" fillId="2" borderId="1" xfId="0" applyNumberFormat="1" applyFont="1" applyFill="1" applyBorder="1" applyAlignment="1" applyProtection="1">
      <alignment horizontal="right" vertical="center"/>
      <protection locked="0"/>
    </xf>
    <xf numFmtId="0" fontId="3" fillId="4" borderId="14" xfId="0" applyNumberFormat="1" applyFont="1" applyFill="1" applyBorder="1" applyAlignment="1" applyProtection="1">
      <alignment horizontal="left" vertical="center"/>
      <protection locked="0"/>
    </xf>
    <xf numFmtId="3" fontId="4" fillId="7" borderId="3" xfId="0" applyNumberFormat="1" applyFont="1" applyFill="1" applyBorder="1" applyAlignment="1" applyProtection="1">
      <alignment horizontal="right" vertical="center"/>
    </xf>
    <xf numFmtId="3" fontId="4" fillId="7" borderId="1" xfId="0" applyNumberFormat="1" applyFont="1" applyFill="1" applyBorder="1" applyAlignment="1" applyProtection="1">
      <alignment horizontal="right" vertical="center"/>
    </xf>
    <xf numFmtId="0" fontId="3" fillId="4" borderId="12" xfId="0" applyFont="1" applyFill="1" applyBorder="1" applyAlignment="1" applyProtection="1">
      <alignment vertical="center"/>
      <protection locked="0"/>
    </xf>
    <xf numFmtId="0" fontId="21" fillId="0" borderId="0" xfId="0" applyFont="1" applyAlignment="1" applyProtection="1">
      <alignment vertical="center"/>
    </xf>
    <xf numFmtId="0" fontId="3" fillId="2" borderId="0" xfId="0" applyFont="1" applyFill="1" applyAlignment="1" applyProtection="1">
      <alignment horizontal="left" vertical="center"/>
      <protection locked="0"/>
    </xf>
    <xf numFmtId="0" fontId="3" fillId="3" borderId="0" xfId="0" applyFont="1" applyFill="1" applyAlignment="1" applyProtection="1">
      <alignment horizontal="left" vertical="center"/>
      <protection locked="0"/>
    </xf>
    <xf numFmtId="1" fontId="3" fillId="3" borderId="2" xfId="0" applyNumberFormat="1" applyFont="1" applyFill="1" applyBorder="1" applyAlignment="1" applyProtection="1">
      <alignment horizontal="center" vertical="center"/>
    </xf>
    <xf numFmtId="0" fontId="3" fillId="3" borderId="0" xfId="0" applyFont="1" applyFill="1" applyAlignment="1">
      <alignment horizontal="center" vertical="center"/>
    </xf>
    <xf numFmtId="0" fontId="4" fillId="3" borderId="0" xfId="0" applyFont="1" applyFill="1" applyAlignment="1">
      <alignment horizontal="center" vertical="center"/>
    </xf>
    <xf numFmtId="0" fontId="24" fillId="3" borderId="0" xfId="0" applyFont="1" applyFill="1" applyAlignment="1">
      <alignment horizontal="center" vertical="center"/>
    </xf>
    <xf numFmtId="0" fontId="3" fillId="3" borderId="8" xfId="0" applyFont="1" applyFill="1" applyBorder="1" applyAlignment="1">
      <alignment vertical="center"/>
    </xf>
    <xf numFmtId="0" fontId="3" fillId="3" borderId="4" xfId="0" applyFont="1" applyFill="1" applyBorder="1" applyAlignment="1">
      <alignment vertical="center"/>
    </xf>
    <xf numFmtId="0" fontId="25" fillId="3" borderId="2" xfId="0" applyFont="1" applyFill="1" applyBorder="1" applyAlignment="1">
      <alignment vertical="center"/>
    </xf>
    <xf numFmtId="0" fontId="25" fillId="3" borderId="8" xfId="0" applyFont="1" applyFill="1" applyBorder="1" applyAlignment="1">
      <alignment horizontal="center" vertical="center"/>
    </xf>
    <xf numFmtId="0" fontId="25" fillId="3" borderId="16" xfId="0" applyFont="1" applyFill="1" applyBorder="1" applyAlignment="1">
      <alignment vertical="center"/>
    </xf>
    <xf numFmtId="0" fontId="25" fillId="3" borderId="1"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1" xfId="0" applyFont="1" applyFill="1" applyBorder="1" applyAlignment="1">
      <alignment horizontal="center" vertical="center"/>
    </xf>
    <xf numFmtId="0" fontId="25" fillId="3" borderId="13" xfId="0" applyFont="1" applyFill="1" applyBorder="1" applyAlignment="1">
      <alignment vertical="center"/>
    </xf>
    <xf numFmtId="3" fontId="25" fillId="2" borderId="1" xfId="0" applyNumberFormat="1" applyFont="1" applyFill="1" applyBorder="1" applyAlignment="1" applyProtection="1">
      <alignment horizontal="center" vertical="center"/>
      <protection locked="0"/>
    </xf>
    <xf numFmtId="0" fontId="25" fillId="3" borderId="4" xfId="0" applyFont="1" applyFill="1" applyBorder="1" applyAlignment="1">
      <alignment vertical="center"/>
    </xf>
    <xf numFmtId="3" fontId="25" fillId="7" borderId="1" xfId="0" applyNumberFormat="1" applyFont="1" applyFill="1" applyBorder="1" applyAlignment="1">
      <alignment horizontal="center" vertical="center"/>
    </xf>
    <xf numFmtId="0" fontId="25" fillId="3" borderId="0" xfId="0" applyFont="1" applyFill="1" applyAlignment="1">
      <alignment vertical="center"/>
    </xf>
    <xf numFmtId="3" fontId="25" fillId="3" borderId="0" xfId="0" applyNumberFormat="1" applyFont="1" applyFill="1" applyAlignment="1">
      <alignment horizontal="center" vertical="center"/>
    </xf>
    <xf numFmtId="0" fontId="25" fillId="3" borderId="0" xfId="0" applyFont="1" applyFill="1" applyAlignment="1">
      <alignment horizontal="center" vertical="center"/>
    </xf>
    <xf numFmtId="0" fontId="25" fillId="2" borderId="1" xfId="0" applyFont="1" applyFill="1" applyBorder="1" applyAlignment="1" applyProtection="1">
      <alignment vertical="center"/>
      <protection locked="0"/>
    </xf>
    <xf numFmtId="0" fontId="25" fillId="2" borderId="16" xfId="0" applyFont="1" applyFill="1" applyBorder="1" applyAlignment="1" applyProtection="1">
      <alignment vertical="center"/>
      <protection locked="0"/>
    </xf>
    <xf numFmtId="3" fontId="25" fillId="2" borderId="16" xfId="0" applyNumberFormat="1" applyFont="1" applyFill="1" applyBorder="1" applyAlignment="1" applyProtection="1">
      <alignment horizontal="center" vertical="center"/>
      <protection locked="0"/>
    </xf>
    <xf numFmtId="0" fontId="25" fillId="2" borderId="0" xfId="0" applyFont="1" applyFill="1" applyAlignment="1" applyProtection="1">
      <alignment vertical="center"/>
      <protection locked="0"/>
    </xf>
    <xf numFmtId="3" fontId="25" fillId="2" borderId="6" xfId="0" applyNumberFormat="1" applyFont="1" applyFill="1" applyBorder="1" applyAlignment="1" applyProtection="1">
      <alignment horizontal="center" vertical="center"/>
      <protection locked="0"/>
    </xf>
    <xf numFmtId="3" fontId="25" fillId="2" borderId="8" xfId="0" applyNumberFormat="1" applyFont="1" applyFill="1" applyBorder="1" applyAlignment="1" applyProtection="1">
      <alignment horizontal="center" vertical="center"/>
      <protection locked="0"/>
    </xf>
    <xf numFmtId="0" fontId="25" fillId="2" borderId="8" xfId="0" applyFont="1" applyFill="1" applyBorder="1" applyAlignment="1" applyProtection="1">
      <alignment vertical="center"/>
      <protection locked="0"/>
    </xf>
    <xf numFmtId="0" fontId="25" fillId="2" borderId="3" xfId="0" applyFont="1" applyFill="1" applyBorder="1" applyAlignment="1" applyProtection="1">
      <alignment vertical="center"/>
      <protection locked="0"/>
    </xf>
    <xf numFmtId="3" fontId="25" fillId="2" borderId="11" xfId="0" applyNumberFormat="1" applyFont="1" applyFill="1" applyBorder="1" applyAlignment="1" applyProtection="1">
      <alignment horizontal="center" vertical="center"/>
      <protection locked="0"/>
    </xf>
    <xf numFmtId="0" fontId="25" fillId="2" borderId="11" xfId="0" applyFont="1" applyFill="1" applyBorder="1" applyAlignment="1" applyProtection="1">
      <alignment vertical="center"/>
      <protection locked="0"/>
    </xf>
    <xf numFmtId="3" fontId="25" fillId="7" borderId="3" xfId="0" applyNumberFormat="1" applyFont="1" applyFill="1" applyBorder="1" applyAlignment="1">
      <alignment horizontal="center" vertical="center"/>
    </xf>
    <xf numFmtId="3" fontId="25" fillId="10" borderId="1" xfId="0" applyNumberFormat="1" applyFont="1" applyFill="1" applyBorder="1" applyAlignment="1">
      <alignment horizontal="center" vertical="center"/>
    </xf>
    <xf numFmtId="3" fontId="3" fillId="3" borderId="0" xfId="0" applyNumberFormat="1" applyFont="1" applyFill="1" applyAlignment="1">
      <alignment vertical="center"/>
    </xf>
    <xf numFmtId="0" fontId="3" fillId="9" borderId="0" xfId="0" applyFont="1" applyFill="1" applyAlignment="1">
      <alignment vertical="center"/>
    </xf>
    <xf numFmtId="0" fontId="3" fillId="3" borderId="0" xfId="0" applyFont="1" applyFill="1" applyAlignment="1">
      <alignment horizontal="right" vertical="center"/>
    </xf>
    <xf numFmtId="3" fontId="3" fillId="0" borderId="0" xfId="0" applyNumberFormat="1" applyFont="1" applyAlignment="1">
      <alignment vertical="center"/>
    </xf>
    <xf numFmtId="0" fontId="3" fillId="3" borderId="12" xfId="0" applyFont="1" applyFill="1" applyBorder="1" applyAlignment="1" applyProtection="1">
      <alignment horizontal="centerContinuous" vertical="center"/>
    </xf>
    <xf numFmtId="0" fontId="3" fillId="3" borderId="8" xfId="0" applyFont="1" applyFill="1" applyBorder="1" applyAlignment="1" applyProtection="1">
      <alignment horizontal="centerContinuous" vertical="center"/>
    </xf>
    <xf numFmtId="0" fontId="3" fillId="3" borderId="1" xfId="0" applyFont="1" applyFill="1" applyBorder="1" applyAlignment="1" applyProtection="1">
      <alignment horizontal="centerContinuous" vertical="center"/>
    </xf>
    <xf numFmtId="0" fontId="3" fillId="3" borderId="5" xfId="0" applyFont="1" applyFill="1" applyBorder="1" applyAlignment="1" applyProtection="1">
      <alignment horizontal="centerContinuous" vertical="center"/>
    </xf>
    <xf numFmtId="0" fontId="3" fillId="3" borderId="10" xfId="0" applyFont="1" applyFill="1" applyBorder="1" applyAlignment="1" applyProtection="1">
      <alignment horizontal="center" vertical="center"/>
      <protection locked="0"/>
    </xf>
    <xf numFmtId="0" fontId="3" fillId="3" borderId="3" xfId="0" applyFont="1" applyFill="1" applyBorder="1" applyAlignment="1" applyProtection="1">
      <alignment horizontal="center" vertical="center"/>
      <protection locked="0"/>
    </xf>
    <xf numFmtId="164" fontId="3" fillId="3" borderId="0" xfId="0" applyNumberFormat="1" applyFont="1" applyFill="1" applyBorder="1" applyAlignment="1" applyProtection="1">
      <alignment vertical="center"/>
    </xf>
    <xf numFmtId="164" fontId="3" fillId="3" borderId="10" xfId="0" applyNumberFormat="1" applyFont="1" applyFill="1" applyBorder="1" applyAlignment="1" applyProtection="1">
      <alignment vertical="center"/>
    </xf>
    <xf numFmtId="37" fontId="3" fillId="7" borderId="1" xfId="0" applyNumberFormat="1" applyFont="1" applyFill="1" applyBorder="1" applyAlignment="1" applyProtection="1">
      <alignment horizontal="center" vertical="center"/>
    </xf>
    <xf numFmtId="37" fontId="3" fillId="7" borderId="7" xfId="0" applyNumberFormat="1" applyFont="1" applyFill="1" applyBorder="1" applyAlignment="1" applyProtection="1">
      <alignment horizontal="center" vertical="center"/>
    </xf>
    <xf numFmtId="165" fontId="3" fillId="3" borderId="0" xfId="0" applyNumberFormat="1" applyFont="1" applyFill="1" applyAlignment="1" applyProtection="1">
      <alignment vertical="center"/>
      <protection locked="0"/>
    </xf>
    <xf numFmtId="37" fontId="3" fillId="3" borderId="0" xfId="0" applyNumberFormat="1" applyFont="1" applyFill="1" applyAlignment="1" applyProtection="1">
      <alignment vertical="center"/>
      <protection locked="0"/>
    </xf>
    <xf numFmtId="0" fontId="3" fillId="3" borderId="16" xfId="0" applyFont="1" applyFill="1" applyBorder="1" applyAlignment="1" applyProtection="1">
      <alignment horizontal="center" vertical="center" wrapText="1"/>
    </xf>
    <xf numFmtId="0" fontId="3" fillId="3" borderId="1" xfId="0" applyFont="1" applyFill="1" applyBorder="1" applyAlignment="1" applyProtection="1">
      <alignment horizontal="center" vertical="center" wrapText="1"/>
    </xf>
    <xf numFmtId="37" fontId="3" fillId="3" borderId="1" xfId="0" applyNumberFormat="1" applyFont="1" applyFill="1" applyBorder="1" applyAlignment="1" applyProtection="1">
      <alignment horizontal="left" vertical="center"/>
    </xf>
    <xf numFmtId="3" fontId="3" fillId="2" borderId="1" xfId="0" applyNumberFormat="1" applyFont="1" applyFill="1" applyBorder="1" applyAlignment="1" applyProtection="1">
      <alignment horizontal="center" vertical="center"/>
      <protection locked="0"/>
    </xf>
    <xf numFmtId="175" fontId="3" fillId="3" borderId="1" xfId="0" applyNumberFormat="1" applyFont="1" applyFill="1" applyBorder="1" applyAlignment="1" applyProtection="1">
      <alignment horizontal="center" vertical="center"/>
    </xf>
    <xf numFmtId="3" fontId="3" fillId="3" borderId="7" xfId="0" applyNumberFormat="1" applyFont="1" applyFill="1" applyBorder="1" applyAlignment="1" applyProtection="1">
      <alignment horizontal="center" vertical="center"/>
    </xf>
    <xf numFmtId="175" fontId="3" fillId="3" borderId="7" xfId="0" applyNumberFormat="1" applyFont="1" applyFill="1" applyBorder="1" applyAlignment="1" applyProtection="1">
      <alignment horizontal="center" vertical="center"/>
    </xf>
    <xf numFmtId="3" fontId="3" fillId="3" borderId="4" xfId="0" applyNumberFormat="1" applyFont="1" applyFill="1" applyBorder="1" applyAlignment="1" applyProtection="1">
      <alignment horizontal="center" vertical="center"/>
    </xf>
    <xf numFmtId="175" fontId="3" fillId="3" borderId="4" xfId="0" applyNumberFormat="1" applyFont="1" applyFill="1" applyBorder="1" applyAlignment="1" applyProtection="1">
      <alignment horizontal="center" vertical="center"/>
    </xf>
    <xf numFmtId="175" fontId="3" fillId="3" borderId="0" xfId="0" applyNumberFormat="1" applyFont="1" applyFill="1" applyBorder="1" applyAlignment="1" applyProtection="1">
      <alignment horizontal="center" vertical="center"/>
    </xf>
    <xf numFmtId="3" fontId="3" fillId="3" borderId="4" xfId="0" applyNumberFormat="1" applyFont="1" applyFill="1" applyBorder="1" applyAlignment="1">
      <alignment horizontal="center" vertical="center"/>
    </xf>
    <xf numFmtId="0" fontId="0" fillId="3" borderId="0" xfId="0" applyFill="1" applyAlignment="1">
      <alignment horizontal="center" vertical="center"/>
    </xf>
    <xf numFmtId="0" fontId="3" fillId="3" borderId="4" xfId="0" applyFont="1" applyFill="1" applyBorder="1" applyAlignment="1">
      <alignment horizontal="center" vertical="center"/>
    </xf>
    <xf numFmtId="0" fontId="5" fillId="0" borderId="0" xfId="0" applyFont="1" applyAlignment="1">
      <alignment vertical="center"/>
    </xf>
    <xf numFmtId="0" fontId="3" fillId="0" borderId="0" xfId="0" applyFont="1" applyAlignment="1">
      <alignment vertical="center" wrapText="1"/>
    </xf>
    <xf numFmtId="0" fontId="29" fillId="0" borderId="0" xfId="0" applyFont="1" applyAlignment="1">
      <alignment horizontal="center" vertical="center"/>
    </xf>
    <xf numFmtId="0" fontId="4" fillId="0" borderId="0" xfId="0" applyFont="1" applyAlignment="1">
      <alignment vertical="center" wrapText="1"/>
    </xf>
    <xf numFmtId="0" fontId="49" fillId="0" borderId="0" xfId="0" applyFont="1" applyAlignment="1">
      <alignment vertical="center"/>
    </xf>
    <xf numFmtId="0" fontId="49" fillId="0" borderId="0" xfId="0" applyFont="1" applyAlignment="1">
      <alignment vertical="center" wrapText="1"/>
    </xf>
    <xf numFmtId="3" fontId="30" fillId="10" borderId="0" xfId="0" applyNumberFormat="1" applyFont="1" applyFill="1" applyAlignment="1">
      <alignment horizontal="center" vertical="center"/>
    </xf>
    <xf numFmtId="0" fontId="4" fillId="0" borderId="0" xfId="0" applyFont="1" applyAlignment="1" applyProtection="1">
      <alignment horizontal="centerContinuous" vertical="center"/>
    </xf>
    <xf numFmtId="0" fontId="4"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left" vertical="center" wrapText="1"/>
    </xf>
    <xf numFmtId="0" fontId="4" fillId="0" borderId="0" xfId="0" applyFont="1" applyAlignment="1" applyProtection="1">
      <alignment horizontal="center" vertical="center"/>
    </xf>
    <xf numFmtId="0" fontId="3" fillId="0" borderId="0" xfId="0" applyFont="1" applyAlignment="1" applyProtection="1">
      <alignment vertical="center" wrapText="1"/>
    </xf>
    <xf numFmtId="0" fontId="3" fillId="2" borderId="0" xfId="0" applyFont="1" applyFill="1" applyAlignment="1" applyProtection="1">
      <alignment vertical="center"/>
    </xf>
    <xf numFmtId="0" fontId="3" fillId="3" borderId="0" xfId="0" applyFont="1" applyFill="1" applyAlignment="1" applyProtection="1">
      <alignment vertical="center" wrapText="1"/>
    </xf>
    <xf numFmtId="0" fontId="3" fillId="8" borderId="0" xfId="0" applyFont="1" applyFill="1" applyAlignment="1">
      <alignment vertical="center" wrapText="1"/>
    </xf>
    <xf numFmtId="0" fontId="3" fillId="0" borderId="0" xfId="0" applyFont="1" applyFill="1" applyAlignment="1">
      <alignment vertical="center"/>
    </xf>
    <xf numFmtId="0" fontId="4" fillId="0" borderId="0" xfId="0" applyFont="1" applyAlignment="1">
      <alignment horizontal="center" vertical="center"/>
    </xf>
    <xf numFmtId="37" fontId="3" fillId="0" borderId="0" xfId="0" applyNumberFormat="1" applyFont="1" applyFill="1" applyAlignment="1" applyProtection="1">
      <alignment horizontal="left" vertical="center" wrapText="1"/>
    </xf>
    <xf numFmtId="0" fontId="3" fillId="0" borderId="0" xfId="0" applyNumberFormat="1" applyFont="1" applyAlignment="1">
      <alignment vertical="center" wrapText="1"/>
    </xf>
    <xf numFmtId="0" fontId="3" fillId="0" borderId="0" xfId="103" applyFont="1" applyAlignment="1">
      <alignment vertical="center" wrapText="1"/>
    </xf>
    <xf numFmtId="0" fontId="3" fillId="0" borderId="0" xfId="350" applyNumberFormat="1" applyFont="1" applyAlignment="1">
      <alignment vertical="center" wrapText="1"/>
    </xf>
    <xf numFmtId="0" fontId="3" fillId="0" borderId="0" xfId="227" applyFont="1" applyAlignment="1">
      <alignment vertical="center" wrapText="1"/>
    </xf>
    <xf numFmtId="0" fontId="3" fillId="0" borderId="0" xfId="383" applyFont="1" applyAlignment="1">
      <alignment vertical="center" wrapText="1"/>
    </xf>
    <xf numFmtId="0" fontId="50" fillId="0" borderId="0" xfId="0" applyFont="1" applyAlignment="1">
      <alignment vertical="center" wrapText="1"/>
    </xf>
    <xf numFmtId="0" fontId="32" fillId="0" borderId="0" xfId="395" applyFont="1"/>
    <xf numFmtId="0" fontId="9" fillId="0" borderId="0" xfId="395" applyNumberFormat="1" applyFont="1" applyAlignment="1">
      <alignment horizontal="left" vertical="center"/>
    </xf>
    <xf numFmtId="0" fontId="3" fillId="0" borderId="0" xfId="395" applyFont="1" applyAlignment="1">
      <alignment horizontal="left" vertical="center"/>
    </xf>
    <xf numFmtId="49" fontId="3" fillId="2" borderId="0" xfId="395" applyNumberFormat="1" applyFont="1" applyFill="1" applyAlignment="1" applyProtection="1">
      <alignment horizontal="left" vertical="center"/>
      <protection locked="0"/>
    </xf>
    <xf numFmtId="176" fontId="25" fillId="0" borderId="0" xfId="395" applyNumberFormat="1" applyFont="1" applyAlignment="1">
      <alignment horizontal="left" vertical="center"/>
    </xf>
    <xf numFmtId="49" fontId="3" fillId="0" borderId="0" xfId="395" applyNumberFormat="1" applyFont="1" applyAlignment="1">
      <alignment horizontal="left" vertical="center"/>
    </xf>
    <xf numFmtId="0" fontId="25" fillId="0" borderId="0" xfId="395" applyFont="1" applyAlignment="1">
      <alignment horizontal="left" vertical="center"/>
    </xf>
    <xf numFmtId="177" fontId="25" fillId="0" borderId="0" xfId="395" applyNumberFormat="1" applyFont="1" applyAlignment="1">
      <alignment horizontal="left" vertical="center"/>
    </xf>
    <xf numFmtId="0" fontId="3" fillId="2" borderId="0" xfId="395" applyFont="1" applyFill="1" applyAlignment="1" applyProtection="1">
      <alignment horizontal="left" vertical="center"/>
      <protection locked="0"/>
    </xf>
    <xf numFmtId="0" fontId="32" fillId="2" borderId="0" xfId="395" applyFont="1" applyFill="1" applyAlignment="1" applyProtection="1">
      <alignment horizontal="left" vertical="center"/>
      <protection locked="0"/>
    </xf>
    <xf numFmtId="0" fontId="2" fillId="0" borderId="0" xfId="175" applyFont="1"/>
    <xf numFmtId="0" fontId="2" fillId="0" borderId="0" xfId="175" applyFont="1" applyFill="1"/>
    <xf numFmtId="0" fontId="0" fillId="0" borderId="0" xfId="0" applyAlignment="1"/>
    <xf numFmtId="0" fontId="5" fillId="0" borderId="0" xfId="77" applyFont="1" applyAlignment="1">
      <alignment vertical="center"/>
    </xf>
    <xf numFmtId="0" fontId="3" fillId="0" borderId="0" xfId="81" applyFont="1" applyAlignment="1">
      <alignment vertical="center"/>
    </xf>
    <xf numFmtId="0" fontId="19" fillId="0" borderId="0" xfId="0" applyFont="1" applyAlignment="1">
      <alignment horizontal="center"/>
    </xf>
    <xf numFmtId="0" fontId="2" fillId="0" borderId="0" xfId="0" applyFont="1"/>
    <xf numFmtId="0" fontId="33" fillId="0" borderId="0" xfId="0" applyFont="1"/>
    <xf numFmtId="0" fontId="33" fillId="0" borderId="0" xfId="0" applyFont="1" applyAlignment="1"/>
    <xf numFmtId="0" fontId="2" fillId="0" borderId="0" xfId="0" quotePrefix="1" applyFont="1"/>
    <xf numFmtId="0" fontId="2" fillId="0" borderId="0" xfId="0" applyFont="1" applyAlignment="1"/>
    <xf numFmtId="0" fontId="33" fillId="0" borderId="0" xfId="0" applyFont="1" applyAlignment="1">
      <alignment horizontal="center"/>
    </xf>
    <xf numFmtId="3" fontId="3" fillId="7" borderId="4" xfId="0" applyNumberFormat="1" applyFont="1" applyFill="1" applyBorder="1" applyAlignment="1" applyProtection="1">
      <alignment vertical="center"/>
    </xf>
    <xf numFmtId="0" fontId="3" fillId="3" borderId="0" xfId="0" applyFont="1" applyFill="1"/>
    <xf numFmtId="0" fontId="5" fillId="0" borderId="0" xfId="76" applyFont="1" applyAlignment="1">
      <alignment vertical="center"/>
    </xf>
    <xf numFmtId="0" fontId="51" fillId="3" borderId="0" xfId="0" applyFont="1" applyFill="1" applyAlignment="1" applyProtection="1">
      <alignment horizontal="right" vertical="center"/>
      <protection locked="0"/>
    </xf>
    <xf numFmtId="0" fontId="6" fillId="3" borderId="0" xfId="0" applyFont="1" applyFill="1" applyAlignment="1" applyProtection="1">
      <alignment horizontal="left" vertical="center"/>
      <protection locked="0"/>
    </xf>
    <xf numFmtId="3" fontId="3" fillId="4" borderId="12" xfId="0" applyNumberFormat="1" applyFont="1" applyFill="1" applyBorder="1" applyAlignment="1" applyProtection="1">
      <alignment vertical="center"/>
      <protection locked="0"/>
    </xf>
    <xf numFmtId="3" fontId="21" fillId="10" borderId="12" xfId="0" applyNumberFormat="1" applyFont="1" applyFill="1" applyBorder="1" applyAlignment="1" applyProtection="1">
      <alignment horizontal="center" vertical="center"/>
    </xf>
    <xf numFmtId="3" fontId="4" fillId="7" borderId="12" xfId="0" applyNumberFormat="1" applyFont="1" applyFill="1" applyBorder="1" applyAlignment="1" applyProtection="1">
      <alignment vertical="center"/>
    </xf>
    <xf numFmtId="3" fontId="3" fillId="7" borderId="12" xfId="0" applyNumberFormat="1" applyFont="1" applyFill="1" applyBorder="1" applyAlignment="1" applyProtection="1">
      <alignment vertical="center"/>
    </xf>
    <xf numFmtId="1" fontId="3" fillId="3" borderId="14" xfId="0" applyNumberFormat="1" applyFont="1" applyFill="1" applyBorder="1" applyAlignment="1" applyProtection="1">
      <alignment horizontal="center" vertical="center"/>
    </xf>
    <xf numFmtId="37" fontId="3" fillId="3" borderId="14" xfId="0" applyNumberFormat="1" applyFont="1" applyFill="1" applyBorder="1" applyAlignment="1" applyProtection="1">
      <alignment horizontal="center" vertical="center"/>
    </xf>
    <xf numFmtId="0" fontId="3" fillId="3" borderId="13" xfId="0" applyNumberFormat="1" applyFont="1" applyFill="1" applyBorder="1" applyAlignment="1" applyProtection="1">
      <alignment horizontal="center" vertical="center"/>
    </xf>
    <xf numFmtId="3" fontId="3" fillId="3" borderId="12" xfId="0" applyNumberFormat="1" applyFont="1" applyFill="1" applyBorder="1" applyAlignment="1" applyProtection="1">
      <alignment vertical="center"/>
    </xf>
    <xf numFmtId="3" fontId="3" fillId="7" borderId="12" xfId="0" applyNumberFormat="1" applyFont="1" applyFill="1" applyBorder="1" applyAlignment="1" applyProtection="1">
      <alignment horizontal="right" vertical="center"/>
    </xf>
    <xf numFmtId="3" fontId="3" fillId="4" borderId="12" xfId="0" applyNumberFormat="1" applyFont="1" applyFill="1" applyBorder="1" applyAlignment="1" applyProtection="1">
      <alignment horizontal="right" vertical="center"/>
      <protection locked="0"/>
    </xf>
    <xf numFmtId="3" fontId="4" fillId="7" borderId="12" xfId="0" applyNumberFormat="1" applyFont="1" applyFill="1" applyBorder="1" applyAlignment="1" applyProtection="1">
      <alignment horizontal="right" vertical="center"/>
    </xf>
    <xf numFmtId="3" fontId="3" fillId="3" borderId="12" xfId="0" applyNumberFormat="1" applyFont="1" applyFill="1" applyBorder="1" applyAlignment="1" applyProtection="1">
      <alignment horizontal="right" vertical="center"/>
    </xf>
    <xf numFmtId="1" fontId="3" fillId="3" borderId="13" xfId="0" applyNumberFormat="1" applyFont="1" applyFill="1" applyBorder="1" applyAlignment="1" applyProtection="1">
      <alignment horizontal="center" vertical="center"/>
    </xf>
    <xf numFmtId="3" fontId="3" fillId="3" borderId="12" xfId="1" applyNumberFormat="1" applyFont="1" applyFill="1" applyBorder="1" applyAlignment="1" applyProtection="1">
      <alignment horizontal="right" vertical="center"/>
    </xf>
    <xf numFmtId="14" fontId="3" fillId="2" borderId="1" xfId="0" applyNumberFormat="1" applyFont="1" applyFill="1" applyBorder="1" applyAlignment="1" applyProtection="1">
      <alignment horizontal="left" vertical="center"/>
      <protection locked="0"/>
    </xf>
    <xf numFmtId="14" fontId="3" fillId="4" borderId="1" xfId="0" applyNumberFormat="1" applyFont="1" applyFill="1" applyBorder="1" applyAlignment="1" applyProtection="1">
      <alignment vertical="center"/>
      <protection locked="0"/>
    </xf>
    <xf numFmtId="0" fontId="3" fillId="3" borderId="0" xfId="0" applyFont="1" applyFill="1" applyBorder="1" applyAlignment="1">
      <alignment horizontal="center" vertical="center" shrinkToFit="1"/>
    </xf>
    <xf numFmtId="0" fontId="21" fillId="10" borderId="12" xfId="0" applyFont="1" applyFill="1" applyBorder="1" applyAlignment="1" applyProtection="1">
      <alignment horizontal="center" vertical="center"/>
    </xf>
    <xf numFmtId="0" fontId="7" fillId="8" borderId="2" xfId="0" applyFont="1" applyFill="1" applyBorder="1" applyAlignment="1" applyProtection="1">
      <alignment horizontal="center" vertical="center"/>
    </xf>
    <xf numFmtId="0" fontId="52" fillId="3" borderId="0" xfId="0" applyFont="1" applyFill="1" applyAlignment="1" applyProtection="1">
      <alignment horizontal="center" vertical="center"/>
    </xf>
    <xf numFmtId="3" fontId="21" fillId="10" borderId="1" xfId="0" applyNumberFormat="1" applyFont="1" applyFill="1" applyBorder="1" applyAlignment="1" applyProtection="1">
      <alignment horizontal="center" vertical="center"/>
    </xf>
    <xf numFmtId="37" fontId="3" fillId="3" borderId="1" xfId="0" applyNumberFormat="1" applyFont="1" applyFill="1" applyBorder="1" applyAlignment="1" applyProtection="1">
      <alignment horizontal="center" vertical="center"/>
    </xf>
    <xf numFmtId="0" fontId="4" fillId="3" borderId="0" xfId="0" applyFont="1" applyFill="1" applyBorder="1" applyAlignment="1" applyProtection="1">
      <alignment vertical="center"/>
    </xf>
    <xf numFmtId="37" fontId="4" fillId="3" borderId="0" xfId="0" applyNumberFormat="1" applyFont="1" applyFill="1" applyBorder="1" applyAlignment="1" applyProtection="1">
      <alignment vertical="center"/>
    </xf>
    <xf numFmtId="3" fontId="18" fillId="3" borderId="1" xfId="0" applyNumberFormat="1" applyFont="1" applyFill="1" applyBorder="1" applyAlignment="1" applyProtection="1">
      <alignment horizontal="center" vertical="center"/>
    </xf>
    <xf numFmtId="0" fontId="7" fillId="3" borderId="0" xfId="0" applyFont="1" applyFill="1" applyBorder="1" applyAlignment="1" applyProtection="1">
      <alignment horizontal="center" vertical="center"/>
    </xf>
    <xf numFmtId="0" fontId="3" fillId="4" borderId="1" xfId="0" applyFont="1" applyFill="1" applyBorder="1" applyAlignment="1" applyProtection="1">
      <alignment horizontal="center" vertical="center"/>
      <protection locked="0"/>
    </xf>
    <xf numFmtId="0" fontId="37" fillId="8" borderId="0" xfId="0" applyFont="1" applyFill="1"/>
    <xf numFmtId="0" fontId="37" fillId="0" borderId="0" xfId="0" applyFont="1"/>
    <xf numFmtId="0" fontId="37" fillId="3" borderId="0" xfId="0" applyFont="1" applyFill="1"/>
    <xf numFmtId="0" fontId="53" fillId="8" borderId="0" xfId="0" applyFont="1" applyFill="1" applyAlignment="1">
      <alignment horizontal="center" wrapText="1"/>
    </xf>
    <xf numFmtId="0" fontId="53" fillId="3" borderId="0" xfId="0" applyFont="1" applyFill="1"/>
    <xf numFmtId="0" fontId="37" fillId="3" borderId="0" xfId="0" applyFont="1" applyFill="1" applyAlignment="1">
      <alignment horizontal="center"/>
    </xf>
    <xf numFmtId="0" fontId="53" fillId="3" borderId="18" xfId="0" applyFont="1" applyFill="1" applyBorder="1"/>
    <xf numFmtId="0" fontId="37" fillId="3" borderId="19" xfId="0" applyFont="1" applyFill="1" applyBorder="1"/>
    <xf numFmtId="0" fontId="37" fillId="3" borderId="20" xfId="0" applyFont="1" applyFill="1" applyBorder="1"/>
    <xf numFmtId="178" fontId="37" fillId="3" borderId="21" xfId="0" applyNumberFormat="1" applyFont="1" applyFill="1" applyBorder="1"/>
    <xf numFmtId="0" fontId="37" fillId="3" borderId="0" xfId="0" applyFont="1" applyFill="1" applyBorder="1"/>
    <xf numFmtId="178" fontId="37" fillId="3" borderId="4" xfId="0" applyNumberFormat="1" applyFont="1" applyFill="1" applyBorder="1" applyAlignment="1">
      <alignment horizontal="center"/>
    </xf>
    <xf numFmtId="0" fontId="37" fillId="3" borderId="22" xfId="0" applyFont="1" applyFill="1" applyBorder="1"/>
    <xf numFmtId="0" fontId="37" fillId="3" borderId="23" xfId="0" applyFont="1" applyFill="1" applyBorder="1"/>
    <xf numFmtId="0" fontId="37" fillId="3" borderId="24" xfId="0" applyFont="1" applyFill="1" applyBorder="1"/>
    <xf numFmtId="0" fontId="37" fillId="3" borderId="25" xfId="0" applyFont="1" applyFill="1" applyBorder="1"/>
    <xf numFmtId="178" fontId="37" fillId="3" borderId="0" xfId="0" applyNumberFormat="1" applyFont="1" applyFill="1"/>
    <xf numFmtId="0" fontId="37" fillId="3" borderId="18" xfId="0" applyFont="1" applyFill="1" applyBorder="1"/>
    <xf numFmtId="0" fontId="37" fillId="3" borderId="26" xfId="0" applyFont="1" applyFill="1" applyBorder="1"/>
    <xf numFmtId="178" fontId="37" fillId="2" borderId="21" xfId="0" applyNumberFormat="1" applyFont="1" applyFill="1" applyBorder="1" applyAlignment="1" applyProtection="1">
      <alignment horizontal="center"/>
      <protection locked="0"/>
    </xf>
    <xf numFmtId="175" fontId="37" fillId="3" borderId="0" xfId="0" applyNumberFormat="1" applyFont="1" applyFill="1" applyBorder="1" applyAlignment="1">
      <alignment horizontal="center"/>
    </xf>
    <xf numFmtId="178" fontId="37" fillId="0" borderId="0" xfId="0" applyNumberFormat="1" applyFont="1"/>
    <xf numFmtId="0" fontId="54" fillId="0" borderId="0" xfId="0" applyFont="1" applyBorder="1"/>
    <xf numFmtId="0" fontId="37" fillId="0" borderId="0" xfId="0" applyFont="1" applyBorder="1"/>
    <xf numFmtId="0" fontId="53" fillId="0" borderId="0" xfId="0" applyFont="1" applyBorder="1" applyAlignment="1">
      <alignment horizontal="centerContinuous"/>
    </xf>
    <xf numFmtId="0" fontId="37" fillId="0" borderId="0" xfId="0" applyFont="1" applyBorder="1" applyAlignment="1">
      <alignment horizontal="centerContinuous"/>
    </xf>
    <xf numFmtId="0" fontId="37" fillId="8" borderId="0" xfId="0" applyFont="1" applyFill="1" applyBorder="1"/>
    <xf numFmtId="0" fontId="37" fillId="3" borderId="27" xfId="0" applyFont="1" applyFill="1" applyBorder="1"/>
    <xf numFmtId="0" fontId="37" fillId="3" borderId="9" xfId="0" applyFont="1" applyFill="1" applyBorder="1"/>
    <xf numFmtId="0" fontId="37" fillId="3" borderId="28" xfId="0" applyFont="1" applyFill="1" applyBorder="1"/>
    <xf numFmtId="5" fontId="37" fillId="3" borderId="24" xfId="0" applyNumberFormat="1" applyFont="1" applyFill="1" applyBorder="1" applyAlignment="1">
      <alignment horizontal="center"/>
    </xf>
    <xf numFmtId="0" fontId="37" fillId="3" borderId="24" xfId="0" applyFont="1" applyFill="1" applyBorder="1" applyAlignment="1">
      <alignment horizontal="center"/>
    </xf>
    <xf numFmtId="175" fontId="37" fillId="3" borderId="24" xfId="0" applyNumberFormat="1" applyFont="1" applyFill="1" applyBorder="1" applyAlignment="1">
      <alignment horizontal="center"/>
    </xf>
    <xf numFmtId="179" fontId="37" fillId="3" borderId="24" xfId="0" applyNumberFormat="1" applyFont="1" applyFill="1" applyBorder="1" applyAlignment="1">
      <alignment horizontal="center"/>
    </xf>
    <xf numFmtId="0" fontId="37" fillId="3" borderId="0" xfId="0" applyFont="1" applyFill="1" applyAlignment="1">
      <alignment horizontal="center" wrapText="1"/>
    </xf>
    <xf numFmtId="0" fontId="53" fillId="3" borderId="18" xfId="0" applyFont="1" applyFill="1" applyBorder="1" applyAlignment="1"/>
    <xf numFmtId="0" fontId="37" fillId="3" borderId="19" xfId="0" applyFont="1" applyFill="1" applyBorder="1" applyAlignment="1"/>
    <xf numFmtId="0" fontId="37" fillId="3" borderId="20" xfId="0" applyFont="1" applyFill="1" applyBorder="1" applyAlignment="1"/>
    <xf numFmtId="0" fontId="37" fillId="3" borderId="26" xfId="0" applyFont="1" applyFill="1" applyBorder="1" applyAlignment="1"/>
    <xf numFmtId="0" fontId="37" fillId="3" borderId="22" xfId="0" applyFont="1" applyFill="1" applyBorder="1" applyAlignment="1"/>
    <xf numFmtId="0" fontId="37" fillId="3" borderId="27" xfId="0" applyFont="1" applyFill="1" applyBorder="1" applyAlignment="1"/>
    <xf numFmtId="0" fontId="37" fillId="3" borderId="9" xfId="0" applyFont="1" applyFill="1" applyBorder="1" applyAlignment="1"/>
    <xf numFmtId="0" fontId="37" fillId="3" borderId="28" xfId="0" applyFont="1" applyFill="1" applyBorder="1" applyAlignment="1"/>
    <xf numFmtId="174" fontId="37" fillId="3" borderId="0" xfId="0" applyNumberFormat="1" applyFont="1" applyFill="1" applyBorder="1" applyAlignment="1">
      <alignment horizontal="center"/>
    </xf>
    <xf numFmtId="0" fontId="37" fillId="3" borderId="23" xfId="0" applyFont="1" applyFill="1" applyBorder="1" applyAlignment="1"/>
    <xf numFmtId="5" fontId="37" fillId="3" borderId="0" xfId="0" applyNumberFormat="1" applyFont="1" applyFill="1" applyBorder="1" applyAlignment="1">
      <alignment horizontal="center"/>
    </xf>
    <xf numFmtId="0" fontId="37" fillId="8" borderId="0" xfId="0" applyFont="1" applyFill="1" applyAlignment="1"/>
    <xf numFmtId="175" fontId="37" fillId="2" borderId="4" xfId="0" applyNumberFormat="1" applyFont="1" applyFill="1" applyBorder="1" applyAlignment="1" applyProtection="1">
      <alignment horizontal="center"/>
      <protection locked="0"/>
    </xf>
    <xf numFmtId="179" fontId="37" fillId="3" borderId="0" xfId="0" applyNumberFormat="1" applyFont="1" applyFill="1" applyBorder="1"/>
    <xf numFmtId="178" fontId="37" fillId="3" borderId="24" xfId="0" applyNumberFormat="1" applyFont="1" applyFill="1" applyBorder="1" applyAlignment="1">
      <alignment horizontal="center"/>
    </xf>
    <xf numFmtId="175" fontId="37" fillId="3" borderId="24" xfId="0" applyNumberFormat="1" applyFont="1" applyFill="1" applyBorder="1" applyAlignment="1" applyProtection="1">
      <alignment horizontal="center"/>
      <protection locked="0"/>
    </xf>
    <xf numFmtId="179" fontId="37" fillId="3" borderId="24" xfId="0" applyNumberFormat="1" applyFont="1" applyFill="1" applyBorder="1"/>
    <xf numFmtId="0" fontId="53" fillId="3" borderId="26" xfId="0" applyFont="1" applyFill="1" applyBorder="1" applyAlignment="1">
      <alignment horizontal="centerContinuous" vertical="center"/>
    </xf>
    <xf numFmtId="178" fontId="53" fillId="3" borderId="0" xfId="0" applyNumberFormat="1" applyFont="1" applyFill="1" applyBorder="1" applyAlignment="1">
      <alignment horizontal="centerContinuous" vertical="center"/>
    </xf>
    <xf numFmtId="0" fontId="53" fillId="3" borderId="0" xfId="0" applyFont="1" applyFill="1" applyBorder="1" applyAlignment="1">
      <alignment horizontal="centerContinuous" vertical="center"/>
    </xf>
    <xf numFmtId="175" fontId="53" fillId="3" borderId="0" xfId="0" applyNumberFormat="1" applyFont="1" applyFill="1" applyBorder="1" applyAlignment="1" applyProtection="1">
      <alignment horizontal="centerContinuous" vertical="center"/>
      <protection locked="0"/>
    </xf>
    <xf numFmtId="179" fontId="53" fillId="3" borderId="0" xfId="0" applyNumberFormat="1" applyFont="1" applyFill="1" applyBorder="1" applyAlignment="1">
      <alignment horizontal="centerContinuous" vertical="center"/>
    </xf>
    <xf numFmtId="0" fontId="53" fillId="3" borderId="22" xfId="0" applyFont="1" applyFill="1" applyBorder="1" applyAlignment="1">
      <alignment horizontal="centerContinuous" vertical="center"/>
    </xf>
    <xf numFmtId="0" fontId="53" fillId="3" borderId="26" xfId="0" applyFont="1" applyFill="1" applyBorder="1" applyAlignment="1">
      <alignment horizontal="centerContinuous"/>
    </xf>
    <xf numFmtId="178" fontId="53" fillId="3" borderId="0" xfId="0" applyNumberFormat="1" applyFont="1" applyFill="1" applyBorder="1" applyAlignment="1">
      <alignment horizontal="centerContinuous"/>
    </xf>
    <xf numFmtId="0" fontId="53" fillId="3" borderId="0" xfId="0" applyFont="1" applyFill="1" applyBorder="1" applyAlignment="1">
      <alignment horizontal="centerContinuous"/>
    </xf>
    <xf numFmtId="175" fontId="53" fillId="3" borderId="0" xfId="0" applyNumberFormat="1" applyFont="1" applyFill="1" applyBorder="1" applyAlignment="1" applyProtection="1">
      <alignment horizontal="centerContinuous"/>
      <protection locked="0"/>
    </xf>
    <xf numFmtId="179" fontId="53" fillId="3" borderId="0" xfId="0" applyNumberFormat="1" applyFont="1" applyFill="1" applyBorder="1" applyAlignment="1">
      <alignment horizontal="centerContinuous"/>
    </xf>
    <xf numFmtId="0" fontId="53" fillId="3" borderId="22" xfId="0" applyFont="1" applyFill="1" applyBorder="1" applyAlignment="1">
      <alignment horizontal="centerContinuous"/>
    </xf>
    <xf numFmtId="175" fontId="37" fillId="3" borderId="0" xfId="0" applyNumberFormat="1" applyFont="1" applyFill="1" applyBorder="1" applyAlignment="1" applyProtection="1">
      <alignment horizontal="center"/>
      <protection locked="0"/>
    </xf>
    <xf numFmtId="178" fontId="37" fillId="3" borderId="19" xfId="0" applyNumberFormat="1" applyFont="1" applyFill="1" applyBorder="1" applyAlignment="1">
      <alignment horizontal="center"/>
    </xf>
    <xf numFmtId="0" fontId="37" fillId="3" borderId="19" xfId="0" applyFont="1" applyFill="1" applyBorder="1" applyAlignment="1">
      <alignment horizontal="center"/>
    </xf>
    <xf numFmtId="175" fontId="37" fillId="3" borderId="19" xfId="0" applyNumberFormat="1" applyFont="1" applyFill="1" applyBorder="1" applyAlignment="1" applyProtection="1">
      <alignment horizontal="center"/>
      <protection locked="0"/>
    </xf>
    <xf numFmtId="179" fontId="37" fillId="3" borderId="19" xfId="0" applyNumberFormat="1" applyFont="1" applyFill="1" applyBorder="1"/>
    <xf numFmtId="178" fontId="37" fillId="3" borderId="0" xfId="0" applyNumberFormat="1" applyFont="1" applyFill="1" applyBorder="1" applyAlignment="1" applyProtection="1">
      <alignment horizontal="center"/>
      <protection locked="0"/>
    </xf>
    <xf numFmtId="0" fontId="37" fillId="11" borderId="0" xfId="0" applyFont="1" applyFill="1"/>
    <xf numFmtId="0" fontId="39" fillId="0" borderId="0" xfId="24" applyFont="1" applyAlignment="1">
      <alignment horizontal="center"/>
    </xf>
    <xf numFmtId="0" fontId="3" fillId="0" borderId="0" xfId="24" applyFont="1" applyAlignment="1">
      <alignment wrapText="1"/>
    </xf>
    <xf numFmtId="0" fontId="41" fillId="0" borderId="0" xfId="14" applyFont="1" applyAlignment="1" applyProtection="1"/>
    <xf numFmtId="0" fontId="3" fillId="0" borderId="0" xfId="24" applyFont="1"/>
    <xf numFmtId="0" fontId="50" fillId="0" borderId="0" xfId="0" applyFont="1" applyAlignment="1">
      <alignment wrapText="1"/>
    </xf>
    <xf numFmtId="0" fontId="4" fillId="0" borderId="0" xfId="0" applyFont="1" applyAlignment="1">
      <alignment wrapText="1"/>
    </xf>
    <xf numFmtId="0" fontId="7" fillId="10" borderId="4" xfId="0" applyFont="1" applyFill="1" applyBorder="1" applyAlignment="1" applyProtection="1">
      <alignment vertical="center"/>
    </xf>
    <xf numFmtId="0" fontId="3" fillId="10" borderId="4" xfId="0" applyFont="1" applyFill="1" applyBorder="1" applyAlignment="1" applyProtection="1">
      <alignment vertical="center"/>
    </xf>
    <xf numFmtId="178" fontId="7" fillId="2" borderId="1" xfId="0" applyNumberFormat="1" applyFont="1" applyFill="1" applyBorder="1" applyAlignment="1" applyProtection="1">
      <alignment horizontal="center" vertical="center"/>
      <protection locked="0"/>
    </xf>
    <xf numFmtId="0" fontId="7" fillId="3" borderId="17" xfId="0" applyFont="1" applyFill="1" applyBorder="1" applyAlignment="1" applyProtection="1">
      <alignment horizontal="left" vertical="center"/>
    </xf>
    <xf numFmtId="178" fontId="7" fillId="3" borderId="11" xfId="0" applyNumberFormat="1" applyFont="1" applyFill="1" applyBorder="1" applyAlignment="1" applyProtection="1">
      <alignment horizontal="center" vertical="center"/>
    </xf>
    <xf numFmtId="0" fontId="7" fillId="3" borderId="17" xfId="0" applyFont="1" applyFill="1" applyBorder="1" applyAlignment="1" applyProtection="1">
      <alignment vertical="center"/>
    </xf>
    <xf numFmtId="0" fontId="3" fillId="0" borderId="0" xfId="0" applyFont="1" applyFill="1" applyBorder="1" applyAlignment="1" applyProtection="1">
      <alignment vertical="center"/>
    </xf>
    <xf numFmtId="0" fontId="3" fillId="10" borderId="6" xfId="0" applyFont="1" applyFill="1" applyBorder="1" applyAlignment="1" applyProtection="1">
      <alignment vertical="center"/>
    </xf>
    <xf numFmtId="0" fontId="44" fillId="10" borderId="4" xfId="0" applyFont="1" applyFill="1" applyBorder="1" applyAlignment="1" applyProtection="1">
      <alignment vertical="center"/>
    </xf>
    <xf numFmtId="178" fontId="44" fillId="10" borderId="13" xfId="0" applyNumberFormat="1" applyFont="1" applyFill="1" applyBorder="1" applyAlignment="1" applyProtection="1">
      <alignment horizontal="center" vertical="center"/>
    </xf>
    <xf numFmtId="178" fontId="7" fillId="3" borderId="17" xfId="0" applyNumberFormat="1" applyFont="1" applyFill="1" applyBorder="1" applyAlignment="1" applyProtection="1">
      <alignment vertical="center"/>
    </xf>
    <xf numFmtId="178" fontId="7" fillId="3" borderId="13" xfId="0" applyNumberFormat="1" applyFont="1" applyFill="1" applyBorder="1" applyAlignment="1" applyProtection="1">
      <alignment horizontal="center" vertical="center"/>
    </xf>
    <xf numFmtId="0" fontId="7" fillId="3" borderId="0" xfId="0" applyFont="1" applyFill="1" applyBorder="1" applyAlignment="1" applyProtection="1">
      <alignment vertical="center"/>
    </xf>
    <xf numFmtId="0" fontId="3" fillId="3" borderId="11" xfId="0" applyFont="1" applyFill="1" applyBorder="1" applyAlignment="1" applyProtection="1">
      <alignment vertical="center"/>
    </xf>
    <xf numFmtId="3" fontId="3" fillId="7" borderId="29" xfId="0" applyNumberFormat="1" applyFont="1" applyFill="1" applyBorder="1" applyAlignment="1" applyProtection="1">
      <alignment vertical="center"/>
    </xf>
    <xf numFmtId="37" fontId="3" fillId="3" borderId="30" xfId="0" applyNumberFormat="1" applyFont="1" applyFill="1" applyBorder="1" applyAlignment="1" applyProtection="1">
      <alignment vertical="center"/>
    </xf>
    <xf numFmtId="165" fontId="3" fillId="4" borderId="0" xfId="0" applyNumberFormat="1" applyFont="1" applyFill="1" applyAlignment="1" applyProtection="1">
      <alignment horizontal="left" vertical="center"/>
      <protection locked="0"/>
    </xf>
    <xf numFmtId="0" fontId="3" fillId="2" borderId="12" xfId="0" applyNumberFormat="1" applyFont="1" applyFill="1" applyBorder="1" applyAlignment="1" applyProtection="1">
      <alignment horizontal="left" vertical="center"/>
      <protection locked="0"/>
    </xf>
    <xf numFmtId="0" fontId="7" fillId="3" borderId="0" xfId="0" applyFont="1" applyFill="1" applyBorder="1" applyAlignment="1" applyProtection="1">
      <alignment horizontal="left" vertical="center"/>
    </xf>
    <xf numFmtId="178" fontId="7" fillId="3" borderId="17" xfId="0" applyNumberFormat="1" applyFont="1" applyFill="1" applyBorder="1" applyAlignment="1" applyProtection="1">
      <alignment horizontal="center" vertical="center"/>
    </xf>
    <xf numFmtId="0" fontId="4" fillId="3" borderId="0" xfId="30" applyFont="1" applyFill="1" applyAlignment="1" applyProtection="1">
      <alignment vertical="center"/>
    </xf>
    <xf numFmtId="0" fontId="3" fillId="3" borderId="0" xfId="43" applyFont="1" applyFill="1" applyAlignment="1" applyProtection="1">
      <alignment horizontal="right" vertical="center"/>
    </xf>
    <xf numFmtId="37" fontId="3" fillId="3" borderId="0" xfId="24" applyNumberFormat="1" applyFont="1" applyFill="1" applyAlignment="1" applyProtection="1">
      <alignment horizontal="right" vertical="center"/>
    </xf>
    <xf numFmtId="0" fontId="55" fillId="3" borderId="0" xfId="24" applyFont="1" applyFill="1" applyAlignment="1" applyProtection="1">
      <alignment horizontal="center" vertical="center"/>
    </xf>
    <xf numFmtId="0" fontId="3" fillId="3" borderId="17" xfId="0" applyFont="1" applyFill="1" applyBorder="1" applyAlignment="1" applyProtection="1">
      <alignment vertical="center"/>
    </xf>
    <xf numFmtId="0" fontId="25" fillId="3" borderId="0" xfId="0" applyFont="1" applyFill="1" applyBorder="1" applyAlignment="1" applyProtection="1">
      <alignment vertical="center"/>
    </xf>
    <xf numFmtId="0" fontId="25" fillId="10" borderId="4" xfId="0" applyFont="1" applyFill="1" applyBorder="1" applyAlignment="1" applyProtection="1">
      <alignment vertical="center"/>
    </xf>
    <xf numFmtId="0" fontId="7" fillId="3" borderId="17" xfId="0" applyFont="1" applyFill="1" applyBorder="1" applyProtection="1"/>
    <xf numFmtId="0" fontId="3" fillId="3" borderId="0" xfId="0" applyFont="1" applyFill="1" applyBorder="1" applyProtection="1"/>
    <xf numFmtId="178" fontId="3" fillId="3" borderId="11" xfId="0" applyNumberFormat="1" applyFont="1" applyFill="1" applyBorder="1" applyAlignment="1" applyProtection="1">
      <alignment horizontal="center"/>
    </xf>
    <xf numFmtId="0" fontId="3" fillId="3" borderId="13" xfId="0" applyFont="1" applyFill="1" applyBorder="1" applyProtection="1"/>
    <xf numFmtId="0" fontId="3" fillId="3" borderId="4" xfId="0" applyFont="1" applyFill="1" applyBorder="1" applyProtection="1"/>
    <xf numFmtId="178" fontId="3" fillId="10" borderId="6" xfId="0" applyNumberFormat="1" applyFont="1" applyFill="1" applyBorder="1" applyAlignment="1" applyProtection="1">
      <alignment horizontal="center"/>
    </xf>
    <xf numFmtId="0" fontId="3" fillId="3" borderId="17" xfId="0" applyFont="1" applyFill="1" applyBorder="1" applyProtection="1"/>
    <xf numFmtId="0" fontId="3" fillId="3" borderId="11" xfId="0" applyFont="1" applyFill="1" applyBorder="1" applyProtection="1"/>
    <xf numFmtId="174" fontId="3" fillId="3" borderId="11" xfId="0" applyNumberFormat="1" applyFont="1" applyFill="1" applyBorder="1" applyAlignment="1" applyProtection="1">
      <alignment horizontal="center"/>
    </xf>
    <xf numFmtId="0" fontId="3" fillId="10" borderId="17" xfId="0" applyFont="1" applyFill="1" applyBorder="1" applyProtection="1"/>
    <xf numFmtId="0" fontId="3" fillId="10" borderId="0" xfId="0" applyFont="1" applyFill="1" applyBorder="1" applyProtection="1"/>
    <xf numFmtId="178" fontId="3" fillId="10" borderId="11" xfId="0" applyNumberFormat="1" applyFont="1" applyFill="1" applyBorder="1" applyAlignment="1" applyProtection="1">
      <alignment horizontal="center"/>
    </xf>
    <xf numFmtId="0" fontId="3" fillId="10" borderId="13" xfId="0" applyFont="1" applyFill="1" applyBorder="1" applyAlignment="1" applyProtection="1">
      <alignment vertical="center"/>
    </xf>
    <xf numFmtId="178" fontId="3" fillId="10" borderId="6" xfId="0" applyNumberFormat="1" applyFont="1" applyFill="1" applyBorder="1" applyAlignment="1" applyProtection="1">
      <alignment horizontal="center" vertical="center"/>
    </xf>
    <xf numFmtId="0" fontId="3" fillId="0" borderId="0" xfId="0" applyFont="1" applyProtection="1"/>
    <xf numFmtId="178" fontId="3" fillId="3" borderId="6" xfId="0" applyNumberFormat="1" applyFont="1" applyFill="1" applyBorder="1" applyAlignment="1" applyProtection="1">
      <alignment horizontal="center"/>
    </xf>
    <xf numFmtId="0" fontId="3" fillId="10" borderId="13" xfId="0" applyFont="1" applyFill="1" applyBorder="1" applyProtection="1"/>
    <xf numFmtId="0" fontId="3" fillId="10" borderId="4" xfId="0" applyFont="1" applyFill="1" applyBorder="1" applyProtection="1"/>
    <xf numFmtId="0" fontId="3" fillId="0" borderId="0" xfId="0" applyFont="1" applyFill="1" applyBorder="1" applyProtection="1"/>
    <xf numFmtId="175" fontId="3" fillId="2" borderId="11" xfId="0" applyNumberFormat="1" applyFont="1" applyFill="1" applyBorder="1" applyAlignment="1" applyProtection="1">
      <alignment horizontal="center"/>
      <protection locked="0"/>
    </xf>
    <xf numFmtId="178" fontId="7" fillId="10" borderId="13" xfId="0" applyNumberFormat="1" applyFont="1" applyFill="1" applyBorder="1" applyAlignment="1" applyProtection="1">
      <alignment horizontal="center" vertical="center"/>
    </xf>
    <xf numFmtId="0" fontId="3" fillId="0" borderId="0" xfId="43" applyFont="1" applyAlignment="1">
      <alignment vertical="center"/>
    </xf>
    <xf numFmtId="0" fontId="3" fillId="0" borderId="0" xfId="43" applyFont="1" applyAlignment="1">
      <alignment vertical="center" wrapText="1"/>
    </xf>
    <xf numFmtId="0" fontId="3" fillId="2" borderId="4" xfId="0" applyFont="1" applyFill="1" applyBorder="1" applyAlignment="1" applyProtection="1">
      <alignment horizontal="left" vertical="center"/>
      <protection locked="0"/>
    </xf>
    <xf numFmtId="0" fontId="3" fillId="2" borderId="5" xfId="0" applyFont="1" applyFill="1" applyBorder="1" applyAlignment="1" applyProtection="1">
      <alignment horizontal="left" vertical="center"/>
      <protection locked="0"/>
    </xf>
    <xf numFmtId="0" fontId="3" fillId="4" borderId="4" xfId="0" applyFont="1" applyFill="1" applyBorder="1" applyAlignment="1" applyProtection="1">
      <alignment horizontal="left" vertical="center"/>
      <protection locked="0"/>
    </xf>
    <xf numFmtId="0" fontId="3" fillId="4" borderId="5" xfId="0" applyFont="1" applyFill="1" applyBorder="1" applyAlignment="1" applyProtection="1">
      <alignment horizontal="left" vertical="center"/>
      <protection locked="0"/>
    </xf>
    <xf numFmtId="0" fontId="37" fillId="3" borderId="9" xfId="0" applyFont="1" applyFill="1" applyBorder="1" applyAlignment="1">
      <alignment horizontal="center"/>
    </xf>
    <xf numFmtId="178" fontId="37" fillId="3" borderId="0" xfId="0" applyNumberFormat="1" applyFont="1" applyFill="1" applyBorder="1" applyAlignment="1">
      <alignment horizontal="center"/>
    </xf>
    <xf numFmtId="179" fontId="37" fillId="3" borderId="0" xfId="0" applyNumberFormat="1" applyFont="1" applyFill="1" applyBorder="1" applyAlignment="1">
      <alignment horizontal="center"/>
    </xf>
    <xf numFmtId="0" fontId="53" fillId="3" borderId="0" xfId="0" applyFont="1" applyFill="1" applyAlignment="1">
      <alignment horizontal="center" wrapText="1"/>
    </xf>
    <xf numFmtId="0" fontId="37" fillId="3" borderId="0" xfId="0" applyFont="1" applyFill="1" applyBorder="1" applyAlignment="1">
      <alignment horizontal="center"/>
    </xf>
    <xf numFmtId="178" fontId="37" fillId="2" borderId="4" xfId="0" applyNumberFormat="1" applyFont="1" applyFill="1" applyBorder="1" applyAlignment="1" applyProtection="1">
      <alignment horizontal="center"/>
      <protection locked="0"/>
    </xf>
    <xf numFmtId="0" fontId="37" fillId="3" borderId="0" xfId="0" applyFont="1" applyFill="1" applyBorder="1" applyAlignment="1"/>
    <xf numFmtId="0" fontId="37" fillId="3" borderId="25" xfId="0" applyFont="1" applyFill="1" applyBorder="1" applyAlignment="1"/>
    <xf numFmtId="0" fontId="53" fillId="3" borderId="0" xfId="0" applyFont="1" applyFill="1" applyAlignment="1">
      <alignment horizontal="center"/>
    </xf>
    <xf numFmtId="178" fontId="37" fillId="3" borderId="0" xfId="0" applyNumberFormat="1" applyFont="1" applyFill="1" applyAlignment="1">
      <alignment horizontal="center"/>
    </xf>
    <xf numFmtId="10" fontId="3" fillId="4" borderId="1" xfId="0" applyNumberFormat="1" applyFont="1" applyFill="1" applyBorder="1" applyAlignment="1" applyProtection="1">
      <alignment vertical="center"/>
      <protection locked="0"/>
    </xf>
    <xf numFmtId="180" fontId="3" fillId="2" borderId="1" xfId="0" applyNumberFormat="1" applyFont="1" applyFill="1" applyBorder="1" applyAlignment="1" applyProtection="1">
      <alignment vertical="center"/>
      <protection locked="0"/>
    </xf>
    <xf numFmtId="180" fontId="3" fillId="4" borderId="1" xfId="0" applyNumberFormat="1" applyFont="1" applyFill="1" applyBorder="1" applyAlignment="1" applyProtection="1">
      <alignment vertical="center"/>
      <protection locked="0"/>
    </xf>
    <xf numFmtId="0" fontId="3" fillId="0" borderId="0" xfId="0" applyFont="1"/>
    <xf numFmtId="49" fontId="3" fillId="2" borderId="0" xfId="397" applyNumberFormat="1" applyFont="1" applyFill="1" applyAlignment="1" applyProtection="1">
      <alignment horizontal="left" vertical="center"/>
      <protection locked="0"/>
    </xf>
    <xf numFmtId="0" fontId="56" fillId="0" borderId="0" xfId="0" applyFont="1"/>
    <xf numFmtId="0" fontId="3" fillId="0" borderId="0" xfId="397" applyFont="1" applyAlignment="1">
      <alignment horizontal="left" vertical="center"/>
    </xf>
    <xf numFmtId="0" fontId="57" fillId="0" borderId="0" xfId="397" applyFont="1"/>
    <xf numFmtId="176" fontId="58" fillId="0" borderId="0" xfId="397" applyNumberFormat="1" applyFont="1" applyAlignment="1">
      <alignment horizontal="left" vertical="center"/>
    </xf>
    <xf numFmtId="0" fontId="58" fillId="0" borderId="0" xfId="397" applyNumberFormat="1" applyFont="1" applyAlignment="1">
      <alignment horizontal="left" vertical="center"/>
    </xf>
    <xf numFmtId="1" fontId="58" fillId="0" borderId="0" xfId="397" applyNumberFormat="1" applyFont="1" applyAlignment="1">
      <alignment horizontal="left" vertical="center"/>
    </xf>
    <xf numFmtId="0" fontId="59" fillId="0" borderId="0" xfId="397" applyFont="1" applyAlignment="1">
      <alignment horizontal="left" vertical="center"/>
    </xf>
    <xf numFmtId="0" fontId="3" fillId="3" borderId="12" xfId="421" applyFont="1" applyFill="1" applyBorder="1" applyAlignment="1" applyProtection="1">
      <alignment vertical="center"/>
    </xf>
    <xf numFmtId="0" fontId="3" fillId="3" borderId="13" xfId="421" applyFont="1" applyFill="1" applyBorder="1" applyAlignment="1" applyProtection="1">
      <alignment vertical="center"/>
    </xf>
    <xf numFmtId="171" fontId="3" fillId="3" borderId="12" xfId="0" applyNumberFormat="1" applyFont="1" applyFill="1" applyBorder="1" applyAlignment="1" applyProtection="1">
      <alignment vertical="center"/>
    </xf>
    <xf numFmtId="0" fontId="3" fillId="3" borderId="1" xfId="421" applyFont="1" applyFill="1" applyBorder="1" applyAlignment="1" applyProtection="1">
      <alignment vertical="center"/>
    </xf>
    <xf numFmtId="3" fontId="3" fillId="3" borderId="1" xfId="421" applyNumberFormat="1" applyFont="1" applyFill="1" applyBorder="1" applyAlignment="1" applyProtection="1">
      <alignment vertical="center"/>
    </xf>
    <xf numFmtId="0" fontId="3" fillId="3" borderId="0" xfId="421" applyFont="1" applyFill="1" applyBorder="1" applyAlignment="1" applyProtection="1">
      <alignment horizontal="left" vertical="center"/>
      <protection locked="0"/>
    </xf>
    <xf numFmtId="0" fontId="4" fillId="3" borderId="1" xfId="421" applyFont="1" applyFill="1" applyBorder="1" applyAlignment="1" applyProtection="1">
      <alignment horizontal="center" vertical="center"/>
      <protection locked="0"/>
    </xf>
    <xf numFmtId="0" fontId="0" fillId="3" borderId="0" xfId="0" applyFill="1" applyBorder="1" applyAlignment="1">
      <alignment horizontal="center" vertical="center"/>
    </xf>
    <xf numFmtId="0" fontId="0" fillId="3" borderId="0" xfId="0" applyFill="1" applyBorder="1" applyAlignment="1">
      <alignment horizontal="center" vertical="center" wrapText="1"/>
    </xf>
    <xf numFmtId="0" fontId="3" fillId="3" borderId="0" xfId="0" applyFont="1" applyFill="1" applyBorder="1" applyAlignment="1">
      <alignment vertical="center"/>
    </xf>
    <xf numFmtId="0" fontId="3" fillId="3" borderId="0" xfId="0" applyFont="1" applyFill="1" applyBorder="1" applyAlignment="1" applyProtection="1">
      <alignment horizontal="fill" vertical="center"/>
      <protection locked="0"/>
    </xf>
    <xf numFmtId="0" fontId="3" fillId="3" borderId="0" xfId="0" applyFont="1" applyFill="1" applyBorder="1" applyAlignment="1" applyProtection="1">
      <alignment horizontal="centerContinuous" vertical="center"/>
    </xf>
    <xf numFmtId="3" fontId="3" fillId="3" borderId="3" xfId="0" applyNumberFormat="1" applyFont="1" applyFill="1" applyBorder="1" applyAlignment="1" applyProtection="1">
      <alignment horizontal="right" vertical="center"/>
    </xf>
    <xf numFmtId="164" fontId="3" fillId="3" borderId="1" xfId="0" applyNumberFormat="1" applyFont="1" applyFill="1" applyBorder="1" applyAlignment="1" applyProtection="1">
      <alignment horizontal="right" vertical="center"/>
    </xf>
    <xf numFmtId="37" fontId="3" fillId="3" borderId="1" xfId="0" applyNumberFormat="1" applyFont="1" applyFill="1" applyBorder="1" applyAlignment="1" applyProtection="1">
      <alignment horizontal="right" vertical="center"/>
    </xf>
    <xf numFmtId="3" fontId="3" fillId="3" borderId="2" xfId="0" applyNumberFormat="1" applyFont="1" applyFill="1" applyBorder="1" applyAlignment="1" applyProtection="1">
      <alignment horizontal="right" vertical="center"/>
    </xf>
    <xf numFmtId="37" fontId="3" fillId="3" borderId="2" xfId="0" applyNumberFormat="1" applyFont="1" applyFill="1" applyBorder="1" applyAlignment="1" applyProtection="1">
      <alignment horizontal="right" vertical="center"/>
    </xf>
    <xf numFmtId="164" fontId="3" fillId="3" borderId="2" xfId="0" applyNumberFormat="1" applyFont="1" applyFill="1" applyBorder="1" applyAlignment="1" applyProtection="1">
      <alignment horizontal="right" vertical="center"/>
    </xf>
    <xf numFmtId="3" fontId="3" fillId="7" borderId="2" xfId="0" applyNumberFormat="1" applyFont="1" applyFill="1" applyBorder="1" applyAlignment="1" applyProtection="1">
      <alignment horizontal="right" vertical="center"/>
    </xf>
    <xf numFmtId="37" fontId="3" fillId="7" borderId="2" xfId="0" applyNumberFormat="1" applyFont="1" applyFill="1" applyBorder="1" applyAlignment="1" applyProtection="1">
      <alignment horizontal="right" vertical="center"/>
    </xf>
    <xf numFmtId="172" fontId="3" fillId="7" borderId="2" xfId="0" applyNumberFormat="1" applyFont="1" applyFill="1" applyBorder="1" applyAlignment="1" applyProtection="1">
      <alignment horizontal="right" vertical="center"/>
    </xf>
    <xf numFmtId="0" fontId="3" fillId="0" borderId="0" xfId="0" applyNumberFormat="1" applyFont="1" applyFill="1" applyAlignment="1" applyProtection="1">
      <alignment horizontal="right" vertical="center"/>
    </xf>
    <xf numFmtId="0" fontId="7" fillId="10" borderId="0" xfId="0" applyFont="1" applyFill="1" applyBorder="1" applyAlignment="1" applyProtection="1">
      <alignment vertical="center"/>
    </xf>
    <xf numFmtId="0" fontId="3" fillId="10" borderId="0" xfId="0" applyFont="1" applyFill="1" applyBorder="1" applyAlignment="1" applyProtection="1">
      <alignment vertical="center"/>
    </xf>
    <xf numFmtId="0" fontId="43" fillId="3" borderId="0" xfId="0" applyFont="1" applyFill="1" applyBorder="1" applyAlignment="1" applyProtection="1">
      <alignment horizontal="center" vertical="center"/>
    </xf>
    <xf numFmtId="178" fontId="7" fillId="0" borderId="0" xfId="0" applyNumberFormat="1" applyFont="1" applyFill="1" applyBorder="1" applyAlignment="1" applyProtection="1">
      <alignment horizontal="center" vertical="center"/>
    </xf>
    <xf numFmtId="0" fontId="7" fillId="0" borderId="0" xfId="0" applyFont="1" applyFill="1" applyBorder="1" applyAlignment="1" applyProtection="1">
      <alignment horizontal="left" vertical="center"/>
    </xf>
    <xf numFmtId="0" fontId="7" fillId="0" borderId="0" xfId="0" applyFont="1" applyFill="1" applyBorder="1" applyAlignment="1" applyProtection="1">
      <alignment vertical="center"/>
    </xf>
    <xf numFmtId="178" fontId="44" fillId="0" borderId="0" xfId="0" applyNumberFormat="1" applyFont="1" applyFill="1" applyBorder="1" applyAlignment="1" applyProtection="1">
      <alignment horizontal="center" vertical="center"/>
    </xf>
    <xf numFmtId="0" fontId="3" fillId="0" borderId="0" xfId="0" applyFont="1" applyFill="1" applyBorder="1" applyAlignment="1" applyProtection="1">
      <alignment vertical="center"/>
      <protection locked="0"/>
    </xf>
    <xf numFmtId="178" fontId="7" fillId="0" borderId="0" xfId="0" applyNumberFormat="1" applyFont="1" applyFill="1" applyBorder="1" applyAlignment="1" applyProtection="1">
      <alignment horizontal="center" vertical="center"/>
      <protection locked="0"/>
    </xf>
    <xf numFmtId="0" fontId="44" fillId="0" borderId="0" xfId="0" applyFont="1" applyFill="1" applyBorder="1" applyAlignment="1" applyProtection="1">
      <alignment horizontal="center" vertical="center"/>
    </xf>
    <xf numFmtId="0" fontId="44" fillId="3" borderId="8" xfId="0" applyFont="1" applyFill="1" applyBorder="1" applyAlignment="1" applyProtection="1">
      <alignment horizontal="center" vertical="center"/>
    </xf>
    <xf numFmtId="0" fontId="44" fillId="10" borderId="17" xfId="0" applyFont="1" applyFill="1" applyBorder="1" applyAlignment="1" applyProtection="1">
      <alignment vertical="center"/>
    </xf>
    <xf numFmtId="178" fontId="44" fillId="10" borderId="8" xfId="0" applyNumberFormat="1" applyFont="1" applyFill="1" applyBorder="1" applyAlignment="1" applyProtection="1">
      <alignment horizontal="center" vertical="center"/>
    </xf>
    <xf numFmtId="37" fontId="7" fillId="3" borderId="13" xfId="0" applyNumberFormat="1" applyFont="1" applyFill="1" applyBorder="1" applyAlignment="1" applyProtection="1">
      <alignment horizontal="left" vertical="center"/>
    </xf>
    <xf numFmtId="0" fontId="20" fillId="3" borderId="4" xfId="0" applyFont="1" applyFill="1" applyBorder="1" applyAlignment="1">
      <alignment horizontal="left" vertical="center"/>
    </xf>
    <xf numFmtId="178" fontId="44" fillId="10" borderId="6" xfId="0" applyNumberFormat="1" applyFont="1" applyFill="1" applyBorder="1" applyAlignment="1" applyProtection="1">
      <alignment horizontal="center" vertical="center"/>
      <protection locked="0"/>
    </xf>
    <xf numFmtId="0" fontId="7" fillId="3" borderId="11" xfId="0" applyFont="1" applyFill="1" applyBorder="1" applyAlignment="1" applyProtection="1">
      <alignment vertical="center"/>
    </xf>
    <xf numFmtId="0" fontId="60" fillId="0" borderId="0" xfId="0" applyFont="1" applyProtection="1">
      <protection locked="0"/>
    </xf>
    <xf numFmtId="0" fontId="46" fillId="0" borderId="0" xfId="0" applyFont="1" applyAlignment="1" applyProtection="1">
      <alignment vertical="center"/>
    </xf>
    <xf numFmtId="0" fontId="7" fillId="10" borderId="6" xfId="0" applyFont="1" applyFill="1" applyBorder="1" applyAlignment="1" applyProtection="1">
      <alignment vertical="center"/>
    </xf>
    <xf numFmtId="175" fontId="7" fillId="3" borderId="17" xfId="0" applyNumberFormat="1" applyFont="1" applyFill="1" applyBorder="1" applyAlignment="1" applyProtection="1">
      <alignment horizontal="center" vertical="center"/>
    </xf>
    <xf numFmtId="0" fontId="0" fillId="3" borderId="11" xfId="0" applyFill="1" applyBorder="1" applyAlignment="1" applyProtection="1">
      <alignment vertical="center"/>
    </xf>
    <xf numFmtId="175" fontId="7" fillId="10" borderId="13" xfId="0" applyNumberFormat="1" applyFont="1" applyFill="1" applyBorder="1" applyAlignment="1" applyProtection="1">
      <alignment horizontal="center" vertical="center"/>
    </xf>
    <xf numFmtId="0" fontId="0" fillId="0" borderId="0" xfId="0" applyFill="1" applyBorder="1" applyAlignment="1">
      <alignment vertical="center"/>
    </xf>
    <xf numFmtId="175" fontId="7" fillId="3" borderId="12" xfId="0" applyNumberFormat="1" applyFont="1" applyFill="1" applyBorder="1" applyAlignment="1" applyProtection="1">
      <alignment horizontal="center" vertical="center"/>
    </xf>
    <xf numFmtId="175" fontId="7" fillId="10" borderId="12" xfId="0" applyNumberFormat="1" applyFont="1" applyFill="1" applyBorder="1" applyAlignment="1" applyProtection="1">
      <alignment horizontal="center" vertical="center"/>
    </xf>
    <xf numFmtId="0" fontId="7" fillId="3" borderId="4" xfId="0" applyFont="1" applyFill="1" applyBorder="1" applyAlignment="1" applyProtection="1">
      <alignment horizontal="left" vertical="center"/>
    </xf>
    <xf numFmtId="0" fontId="43" fillId="3" borderId="4" xfId="0" applyFont="1" applyFill="1" applyBorder="1" applyAlignment="1" applyProtection="1">
      <alignment horizontal="center" vertical="center"/>
    </xf>
    <xf numFmtId="180" fontId="3" fillId="3" borderId="0" xfId="24" applyNumberFormat="1" applyFont="1" applyFill="1" applyAlignment="1" applyProtection="1">
      <alignment horizontal="center" vertical="center"/>
    </xf>
    <xf numFmtId="0" fontId="3" fillId="0" borderId="0" xfId="0" applyFont="1" applyProtection="1">
      <protection locked="0"/>
    </xf>
    <xf numFmtId="175" fontId="44" fillId="3" borderId="8" xfId="0" applyNumberFormat="1" applyFont="1" applyFill="1" applyBorder="1" applyAlignment="1" applyProtection="1">
      <alignment horizontal="center" vertical="center"/>
    </xf>
    <xf numFmtId="37" fontId="3" fillId="3" borderId="11" xfId="0" applyNumberFormat="1" applyFont="1" applyFill="1" applyBorder="1" applyAlignment="1" applyProtection="1">
      <alignment horizontal="right" vertical="center"/>
    </xf>
    <xf numFmtId="0" fontId="47" fillId="0" borderId="0" xfId="0" applyFont="1" applyAlignment="1" applyProtection="1">
      <alignment vertical="center"/>
    </xf>
    <xf numFmtId="37" fontId="3" fillId="10" borderId="6" xfId="0" applyNumberFormat="1" applyFont="1" applyFill="1" applyBorder="1" applyAlignment="1" applyProtection="1">
      <alignment horizontal="right" vertical="center"/>
    </xf>
    <xf numFmtId="0" fontId="3" fillId="3" borderId="11" xfId="0" applyFont="1" applyFill="1" applyBorder="1" applyProtection="1">
      <protection locked="0"/>
    </xf>
    <xf numFmtId="0" fontId="3" fillId="3" borderId="11" xfId="0" applyFont="1" applyFill="1" applyBorder="1" applyAlignment="1" applyProtection="1">
      <alignment vertical="center"/>
      <protection locked="0"/>
    </xf>
    <xf numFmtId="0" fontId="3" fillId="10" borderId="6" xfId="0" applyFont="1" applyFill="1" applyBorder="1" applyProtection="1">
      <protection locked="0"/>
    </xf>
    <xf numFmtId="178" fontId="25" fillId="3" borderId="17" xfId="0" applyNumberFormat="1" applyFont="1" applyFill="1" applyBorder="1" applyAlignment="1" applyProtection="1">
      <alignment horizontal="center" vertical="center"/>
    </xf>
    <xf numFmtId="178" fontId="25" fillId="3" borderId="17" xfId="0" applyNumberFormat="1" applyFont="1" applyFill="1" applyBorder="1" applyAlignment="1" applyProtection="1">
      <alignment vertical="center"/>
    </xf>
    <xf numFmtId="178" fontId="25" fillId="3" borderId="13" xfId="0" applyNumberFormat="1" applyFont="1" applyFill="1" applyBorder="1" applyAlignment="1" applyProtection="1">
      <alignment horizontal="center" vertical="center"/>
    </xf>
    <xf numFmtId="178" fontId="25" fillId="10" borderId="13" xfId="0" applyNumberFormat="1" applyFont="1" applyFill="1" applyBorder="1" applyAlignment="1" applyProtection="1">
      <alignment horizontal="center" vertical="center"/>
    </xf>
    <xf numFmtId="49" fontId="3" fillId="4" borderId="1" xfId="0" applyNumberFormat="1" applyFont="1" applyFill="1" applyBorder="1" applyAlignment="1" applyProtection="1">
      <alignment horizontal="center" vertical="center"/>
      <protection locked="0"/>
    </xf>
    <xf numFmtId="0" fontId="48" fillId="0" borderId="0" xfId="0" applyFont="1" applyAlignment="1" applyProtection="1">
      <alignment vertical="center"/>
    </xf>
    <xf numFmtId="0" fontId="45" fillId="0" borderId="0" xfId="0" applyFont="1" applyAlignment="1" applyProtection="1">
      <alignment vertical="center"/>
    </xf>
    <xf numFmtId="175" fontId="7" fillId="0" borderId="0" xfId="0" applyNumberFormat="1" applyFont="1" applyFill="1" applyBorder="1" applyAlignment="1" applyProtection="1">
      <alignment horizontal="center" vertical="center"/>
    </xf>
    <xf numFmtId="0" fontId="0" fillId="0" borderId="0" xfId="0" applyFill="1" applyBorder="1" applyAlignment="1" applyProtection="1">
      <alignment vertical="center"/>
    </xf>
    <xf numFmtId="0" fontId="3" fillId="0" borderId="0" xfId="77" applyFont="1" applyAlignment="1">
      <alignment vertical="center"/>
    </xf>
    <xf numFmtId="0" fontId="3" fillId="0" borderId="0" xfId="415" applyFont="1" applyAlignment="1">
      <alignment vertical="center" wrapText="1"/>
    </xf>
    <xf numFmtId="0" fontId="3" fillId="0" borderId="0" xfId="24" applyFont="1" applyAlignment="1">
      <alignment vertical="center" wrapText="1"/>
    </xf>
    <xf numFmtId="0" fontId="43" fillId="0" borderId="0" xfId="0" applyFont="1" applyFill="1" applyBorder="1" applyAlignment="1" applyProtection="1">
      <alignment horizontal="center" vertical="center"/>
    </xf>
    <xf numFmtId="0" fontId="3" fillId="0" borderId="0" xfId="26" applyFont="1" applyAlignment="1">
      <alignment vertical="center" wrapText="1"/>
    </xf>
    <xf numFmtId="3" fontId="3" fillId="7" borderId="3" xfId="0" applyNumberFormat="1" applyFont="1" applyFill="1" applyBorder="1" applyAlignment="1" applyProtection="1">
      <alignment vertical="center"/>
    </xf>
    <xf numFmtId="3" fontId="3" fillId="7" borderId="8" xfId="0" applyNumberFormat="1" applyFont="1" applyFill="1" applyBorder="1" applyAlignment="1" applyProtection="1">
      <alignment vertical="center"/>
    </xf>
    <xf numFmtId="37" fontId="3" fillId="3" borderId="30" xfId="0" applyNumberFormat="1" applyFont="1" applyFill="1" applyBorder="1" applyAlignment="1" applyProtection="1">
      <alignment horizontal="right" vertical="center"/>
    </xf>
    <xf numFmtId="175" fontId="3" fillId="3" borderId="1" xfId="0" applyNumberFormat="1" applyFont="1" applyFill="1" applyBorder="1" applyAlignment="1" applyProtection="1">
      <alignment horizontal="right" vertical="center"/>
    </xf>
    <xf numFmtId="175" fontId="3" fillId="3" borderId="30" xfId="0" applyNumberFormat="1" applyFont="1" applyFill="1" applyBorder="1" applyAlignment="1" applyProtection="1">
      <alignment horizontal="right" vertical="center"/>
    </xf>
    <xf numFmtId="175" fontId="3" fillId="7" borderId="3" xfId="0" applyNumberFormat="1" applyFont="1" applyFill="1" applyBorder="1" applyAlignment="1" applyProtection="1">
      <alignment horizontal="right" vertical="center"/>
    </xf>
    <xf numFmtId="175" fontId="3" fillId="3" borderId="1" xfId="0" applyNumberFormat="1" applyFont="1" applyFill="1" applyBorder="1" applyAlignment="1" applyProtection="1">
      <alignment vertical="center"/>
    </xf>
    <xf numFmtId="175" fontId="3" fillId="3" borderId="30" xfId="0" applyNumberFormat="1" applyFont="1" applyFill="1" applyBorder="1" applyAlignment="1" applyProtection="1">
      <alignment vertical="center"/>
    </xf>
    <xf numFmtId="175" fontId="3" fillId="7" borderId="3" xfId="0" applyNumberFormat="1" applyFont="1" applyFill="1" applyBorder="1" applyAlignment="1" applyProtection="1">
      <alignment vertical="center"/>
    </xf>
    <xf numFmtId="3" fontId="3" fillId="3" borderId="30" xfId="0" applyNumberFormat="1" applyFont="1" applyFill="1" applyBorder="1" applyAlignment="1" applyProtection="1">
      <alignment horizontal="right" vertical="center"/>
    </xf>
    <xf numFmtId="0" fontId="61" fillId="3" borderId="8" xfId="0" applyFont="1" applyFill="1" applyBorder="1" applyAlignment="1">
      <alignment horizontal="center" vertical="center"/>
    </xf>
    <xf numFmtId="0" fontId="4" fillId="3" borderId="5" xfId="0" applyFont="1" applyFill="1" applyBorder="1" applyAlignment="1">
      <alignment horizontal="centerContinuous" vertical="center"/>
    </xf>
    <xf numFmtId="0" fontId="44" fillId="3" borderId="12" xfId="0" applyFont="1" applyFill="1" applyBorder="1" applyAlignment="1">
      <alignment horizontal="centerContinuous" vertical="center"/>
    </xf>
    <xf numFmtId="0" fontId="3" fillId="0" borderId="0" xfId="26" applyFont="1" applyAlignment="1">
      <alignment vertical="center"/>
    </xf>
    <xf numFmtId="0" fontId="3" fillId="0" borderId="0" xfId="0" applyFont="1" applyAlignment="1">
      <alignment wrapText="1"/>
    </xf>
    <xf numFmtId="0" fontId="3" fillId="3" borderId="0" xfId="0" applyFont="1" applyFill="1" applyBorder="1" applyAlignment="1" applyProtection="1">
      <alignment vertical="center" wrapText="1"/>
    </xf>
    <xf numFmtId="0" fontId="0" fillId="0" borderId="0" xfId="0" applyAlignment="1">
      <alignment vertical="center" wrapText="1"/>
    </xf>
    <xf numFmtId="0" fontId="0" fillId="0" borderId="0" xfId="0" applyBorder="1" applyAlignment="1">
      <alignment vertical="center" wrapText="1"/>
    </xf>
    <xf numFmtId="37" fontId="3" fillId="5" borderId="0" xfId="0" applyNumberFormat="1" applyFont="1" applyFill="1" applyAlignment="1" applyProtection="1">
      <alignment horizontal="center" vertical="center" wrapText="1"/>
    </xf>
    <xf numFmtId="0" fontId="0" fillId="5" borderId="4" xfId="0" applyFill="1" applyBorder="1" applyAlignment="1">
      <alignment vertical="center" wrapText="1"/>
    </xf>
    <xf numFmtId="37" fontId="18" fillId="3" borderId="0" xfId="0" applyNumberFormat="1" applyFont="1" applyFill="1" applyAlignment="1" applyProtection="1">
      <alignment horizontal="center" vertical="center"/>
    </xf>
    <xf numFmtId="0" fontId="19" fillId="0" borderId="0" xfId="0" applyFont="1" applyAlignment="1">
      <alignment horizontal="center" vertical="center"/>
    </xf>
    <xf numFmtId="0" fontId="17" fillId="3" borderId="0" xfId="0" applyFont="1" applyFill="1" applyAlignment="1" applyProtection="1">
      <alignment horizontal="center" vertical="center"/>
    </xf>
    <xf numFmtId="0" fontId="1" fillId="0" borderId="0" xfId="0" applyFont="1" applyAlignment="1">
      <alignment horizontal="center" vertical="center"/>
    </xf>
    <xf numFmtId="37" fontId="4" fillId="3" borderId="0" xfId="0" applyNumberFormat="1" applyFont="1" applyFill="1" applyAlignment="1" applyProtection="1">
      <alignment horizontal="center" vertical="center"/>
    </xf>
    <xf numFmtId="0" fontId="0" fillId="0" borderId="0" xfId="0" applyAlignment="1">
      <alignment horizontal="center" vertical="center"/>
    </xf>
    <xf numFmtId="0" fontId="4" fillId="3" borderId="0" xfId="0" applyFont="1" applyFill="1" applyAlignment="1" applyProtection="1">
      <alignment horizontal="left" vertical="center"/>
    </xf>
    <xf numFmtId="0" fontId="0" fillId="0" borderId="0" xfId="0" applyAlignment="1">
      <alignment horizontal="left" vertical="center"/>
    </xf>
    <xf numFmtId="0" fontId="3" fillId="5" borderId="2"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37" fontId="17" fillId="3" borderId="0" xfId="0" applyNumberFormat="1" applyFont="1" applyFill="1" applyBorder="1" applyAlignment="1" applyProtection="1">
      <alignment horizontal="center" vertical="center"/>
    </xf>
    <xf numFmtId="0" fontId="4" fillId="8" borderId="0" xfId="0" applyFont="1" applyFill="1" applyBorder="1" applyAlignment="1">
      <alignment horizontal="center" vertical="center"/>
    </xf>
    <xf numFmtId="0" fontId="1" fillId="8" borderId="0" xfId="0" applyFont="1" applyFill="1" applyBorder="1" applyAlignment="1">
      <alignment horizontal="center" vertical="center"/>
    </xf>
    <xf numFmtId="0" fontId="21" fillId="3" borderId="0" xfId="0" applyFont="1" applyFill="1" applyBorder="1" applyAlignment="1">
      <alignment vertical="center"/>
    </xf>
    <xf numFmtId="0" fontId="22" fillId="0" borderId="0" xfId="0" applyFont="1" applyAlignment="1">
      <alignment vertical="center"/>
    </xf>
    <xf numFmtId="0" fontId="3" fillId="0" borderId="0" xfId="395" applyFont="1" applyAlignment="1">
      <alignment horizontal="left" vertical="center" wrapText="1"/>
    </xf>
    <xf numFmtId="0" fontId="32" fillId="0" borderId="0" xfId="395" applyFont="1" applyAlignment="1">
      <alignment horizontal="left" vertical="center" wrapText="1"/>
    </xf>
    <xf numFmtId="0" fontId="17" fillId="0" borderId="0" xfId="395" applyFont="1" applyAlignment="1">
      <alignment horizontal="left" vertical="center"/>
    </xf>
    <xf numFmtId="0" fontId="7" fillId="3" borderId="0" xfId="0" applyFont="1" applyFill="1" applyBorder="1" applyAlignment="1" applyProtection="1">
      <alignment horizontal="center" vertical="center" wrapText="1"/>
    </xf>
    <xf numFmtId="0" fontId="0" fillId="3" borderId="0" xfId="0" applyFill="1" applyAlignment="1">
      <alignment horizontal="center" vertical="center" wrapText="1"/>
    </xf>
    <xf numFmtId="0" fontId="8" fillId="11" borderId="0" xfId="0" applyFont="1" applyFill="1" applyAlignment="1">
      <alignment horizontal="right" vertical="center" textRotation="180" wrapText="1"/>
    </xf>
    <xf numFmtId="0" fontId="4" fillId="3" borderId="0" xfId="0" applyFont="1" applyFill="1" applyAlignment="1" applyProtection="1">
      <alignment horizontal="center" vertical="center"/>
    </xf>
    <xf numFmtId="37" fontId="3" fillId="3" borderId="0" xfId="0" applyNumberFormat="1" applyFont="1" applyFill="1" applyAlignment="1" applyProtection="1">
      <alignment horizontal="center" vertical="center"/>
    </xf>
    <xf numFmtId="0" fontId="3" fillId="3" borderId="12" xfId="0" applyFont="1" applyFill="1" applyBorder="1" applyAlignment="1" applyProtection="1">
      <alignment horizontal="center" vertical="center"/>
    </xf>
    <xf numFmtId="0" fontId="0" fillId="0" borderId="5" xfId="0" applyBorder="1" applyAlignment="1">
      <alignment vertical="center"/>
    </xf>
    <xf numFmtId="0" fontId="0" fillId="0" borderId="8" xfId="0" applyBorder="1" applyAlignment="1">
      <alignment vertical="center"/>
    </xf>
    <xf numFmtId="0" fontId="3" fillId="3" borderId="10" xfId="0" applyFont="1" applyFill="1" applyBorder="1" applyAlignment="1" applyProtection="1">
      <alignment horizontal="center" vertical="center" wrapText="1"/>
    </xf>
    <xf numFmtId="0" fontId="7" fillId="8" borderId="2" xfId="0" applyFont="1" applyFill="1" applyBorder="1" applyAlignment="1" applyProtection="1">
      <alignment horizontal="center" vertical="center" wrapText="1"/>
    </xf>
    <xf numFmtId="0" fontId="0" fillId="0" borderId="3" xfId="0" applyBorder="1" applyAlignment="1">
      <alignment horizontal="center" vertical="center" wrapText="1"/>
    </xf>
    <xf numFmtId="0" fontId="3" fillId="3" borderId="4" xfId="0" applyFont="1" applyFill="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3" fillId="3" borderId="0" xfId="0" applyFont="1" applyFill="1" applyBorder="1" applyAlignment="1" applyProtection="1">
      <alignment horizontal="center" vertical="center"/>
    </xf>
    <xf numFmtId="0" fontId="0" fillId="0" borderId="0" xfId="0" applyBorder="1" applyAlignment="1">
      <alignment vertical="center"/>
    </xf>
    <xf numFmtId="0" fontId="3" fillId="3" borderId="0" xfId="0" applyFont="1" applyFill="1" applyAlignment="1" applyProtection="1">
      <alignment horizontal="center" vertical="center"/>
    </xf>
    <xf numFmtId="37" fontId="4" fillId="3" borderId="0" xfId="0" applyNumberFormat="1" applyFont="1" applyFill="1" applyBorder="1" applyAlignment="1" applyProtection="1">
      <alignment horizontal="center" vertical="center"/>
    </xf>
    <xf numFmtId="0" fontId="3" fillId="3" borderId="2" xfId="0" applyFont="1" applyFill="1" applyBorder="1" applyAlignment="1" applyProtection="1">
      <alignment horizontal="center" vertical="center" wrapText="1"/>
    </xf>
    <xf numFmtId="0" fontId="0" fillId="0" borderId="3" xfId="0" applyBorder="1" applyAlignment="1" applyProtection="1">
      <alignment horizontal="center" vertical="center" wrapText="1"/>
    </xf>
    <xf numFmtId="37" fontId="3" fillId="3" borderId="2" xfId="0" applyNumberFormat="1" applyFont="1" applyFill="1" applyBorder="1" applyAlignment="1" applyProtection="1">
      <alignment horizontal="center" vertical="center" wrapText="1"/>
    </xf>
    <xf numFmtId="0" fontId="0" fillId="0" borderId="5" xfId="0" applyBorder="1" applyAlignment="1">
      <alignment horizontal="center" vertical="center"/>
    </xf>
    <xf numFmtId="0" fontId="0" fillId="0" borderId="8" xfId="0" applyBorder="1" applyAlignment="1">
      <alignment horizontal="center" vertical="center"/>
    </xf>
    <xf numFmtId="0" fontId="4" fillId="3" borderId="0" xfId="422" applyFont="1" applyFill="1" applyAlignment="1" applyProtection="1">
      <alignment horizontal="center" vertical="center"/>
    </xf>
    <xf numFmtId="0" fontId="43" fillId="3" borderId="14" xfId="0" applyFont="1" applyFill="1" applyBorder="1" applyAlignment="1" applyProtection="1">
      <alignment horizontal="center" vertical="center"/>
    </xf>
    <xf numFmtId="0" fontId="0" fillId="0" borderId="9" xfId="0" applyBorder="1" applyAlignment="1">
      <alignment vertical="center"/>
    </xf>
    <xf numFmtId="0" fontId="0" fillId="0" borderId="16" xfId="0" applyBorder="1" applyAlignment="1">
      <alignment vertical="center"/>
    </xf>
    <xf numFmtId="175" fontId="43" fillId="3" borderId="14" xfId="0" applyNumberFormat="1" applyFont="1" applyFill="1" applyBorder="1" applyAlignment="1" applyProtection="1">
      <alignment horizontal="center"/>
    </xf>
    <xf numFmtId="0" fontId="19" fillId="0" borderId="9" xfId="0" applyFont="1" applyBorder="1" applyAlignment="1"/>
    <xf numFmtId="0" fontId="19" fillId="0" borderId="16" xfId="0" applyFont="1" applyBorder="1" applyAlignment="1"/>
    <xf numFmtId="0" fontId="3" fillId="3" borderId="0" xfId="13" applyNumberFormat="1" applyFont="1" applyFill="1" applyBorder="1" applyAlignment="1" applyProtection="1">
      <alignment horizontal="right" vertical="center"/>
    </xf>
    <xf numFmtId="0" fontId="3" fillId="0" borderId="0" xfId="13" applyFont="1" applyAlignment="1" applyProtection="1">
      <alignment horizontal="right" vertical="center"/>
    </xf>
    <xf numFmtId="3" fontId="3" fillId="3" borderId="9" xfId="43" applyNumberFormat="1" applyFont="1" applyFill="1" applyBorder="1" applyAlignment="1" applyProtection="1">
      <alignment horizontal="right" vertical="center"/>
    </xf>
    <xf numFmtId="0" fontId="2" fillId="0" borderId="16" xfId="43" applyBorder="1" applyAlignment="1">
      <alignment horizontal="right" vertical="center"/>
    </xf>
    <xf numFmtId="0" fontId="3" fillId="3" borderId="0" xfId="43" applyFont="1" applyFill="1" applyAlignment="1" applyProtection="1">
      <alignment horizontal="right" vertical="center"/>
    </xf>
    <xf numFmtId="0" fontId="3" fillId="0" borderId="11" xfId="43" applyFont="1" applyBorder="1" applyAlignment="1">
      <alignment horizontal="right" vertical="center"/>
    </xf>
    <xf numFmtId="0" fontId="0" fillId="0" borderId="9" xfId="0" applyBorder="1" applyAlignment="1">
      <alignment horizontal="center" vertical="center"/>
    </xf>
    <xf numFmtId="0" fontId="0" fillId="0" borderId="16" xfId="0" applyBorder="1" applyAlignment="1"/>
    <xf numFmtId="0" fontId="20" fillId="0" borderId="9" xfId="0" applyFont="1" applyBorder="1" applyAlignment="1">
      <alignment horizontal="center" vertical="center"/>
    </xf>
    <xf numFmtId="0" fontId="4" fillId="3" borderId="12" xfId="0" applyFont="1" applyFill="1" applyBorder="1" applyAlignment="1">
      <alignment vertical="center"/>
    </xf>
    <xf numFmtId="0" fontId="4" fillId="3" borderId="8" xfId="0" applyFont="1" applyFill="1" applyBorder="1" applyAlignment="1">
      <alignment vertical="center"/>
    </xf>
    <xf numFmtId="49" fontId="3" fillId="3" borderId="9" xfId="0" applyNumberFormat="1" applyFont="1" applyFill="1"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17" fillId="3" borderId="14" xfId="0" applyFont="1" applyFill="1" applyBorder="1" applyAlignment="1" applyProtection="1">
      <alignment horizontal="center"/>
    </xf>
    <xf numFmtId="0" fontId="0" fillId="0" borderId="9" xfId="0" applyBorder="1" applyAlignment="1">
      <alignment horizontal="center"/>
    </xf>
    <xf numFmtId="0" fontId="0" fillId="0" borderId="16" xfId="0" applyBorder="1" applyAlignment="1">
      <alignment horizontal="center"/>
    </xf>
    <xf numFmtId="0" fontId="0" fillId="0" borderId="9" xfId="0" applyBorder="1" applyAlignment="1" applyProtection="1">
      <alignment horizontal="center"/>
    </xf>
    <xf numFmtId="0" fontId="0" fillId="0" borderId="16" xfId="0" applyBorder="1" applyAlignment="1" applyProtection="1">
      <alignment horizontal="center"/>
    </xf>
    <xf numFmtId="0" fontId="17" fillId="3" borderId="9" xfId="0" applyFont="1" applyFill="1" applyBorder="1" applyAlignment="1" applyProtection="1">
      <alignment horizontal="center"/>
    </xf>
    <xf numFmtId="0" fontId="17" fillId="3" borderId="16" xfId="0" applyFont="1" applyFill="1" applyBorder="1" applyAlignment="1" applyProtection="1">
      <alignment horizontal="center"/>
    </xf>
    <xf numFmtId="49" fontId="3" fillId="3" borderId="4" xfId="0" applyNumberFormat="1" applyFont="1" applyFill="1" applyBorder="1" applyAlignment="1" applyProtection="1">
      <alignment horizontal="center" vertical="center"/>
      <protection locked="0"/>
    </xf>
    <xf numFmtId="0" fontId="0" fillId="0" borderId="0" xfId="0" applyAlignment="1">
      <alignment vertical="center"/>
    </xf>
    <xf numFmtId="0" fontId="7" fillId="3" borderId="2" xfId="0" applyFont="1" applyFill="1" applyBorder="1" applyAlignment="1">
      <alignment horizontal="center" vertical="center" wrapText="1" shrinkToFit="1"/>
    </xf>
    <xf numFmtId="0" fontId="20" fillId="0" borderId="3" xfId="0" applyFont="1" applyBorder="1" applyAlignment="1">
      <alignment horizontal="center" vertical="center" wrapText="1" shrinkToFit="1"/>
    </xf>
    <xf numFmtId="0" fontId="5" fillId="3" borderId="0" xfId="0" applyFont="1" applyFill="1" applyAlignment="1" applyProtection="1">
      <alignment horizontal="center" vertical="center"/>
    </xf>
    <xf numFmtId="0" fontId="3" fillId="3" borderId="0" xfId="0" applyFont="1" applyFill="1" applyAlignment="1">
      <alignment horizontal="right" vertical="center"/>
    </xf>
    <xf numFmtId="0" fontId="0" fillId="0" borderId="0" xfId="0" applyAlignment="1">
      <alignment horizontal="right" vertical="center"/>
    </xf>
    <xf numFmtId="0" fontId="0" fillId="0" borderId="0" xfId="0" applyAlignment="1" applyProtection="1">
      <alignment vertical="center"/>
    </xf>
    <xf numFmtId="0" fontId="3" fillId="3" borderId="0" xfId="0" applyFont="1" applyFill="1" applyAlignment="1" applyProtection="1">
      <alignment horizontal="right" vertical="center"/>
    </xf>
    <xf numFmtId="0" fontId="6" fillId="0" borderId="0" xfId="423" applyFont="1" applyAlignment="1">
      <alignment horizontal="center"/>
    </xf>
    <xf numFmtId="0" fontId="12" fillId="0" borderId="0" xfId="0" applyFont="1" applyAlignment="1">
      <alignment horizontal="left" wrapText="1"/>
    </xf>
    <xf numFmtId="0" fontId="0" fillId="0" borderId="0" xfId="0" applyAlignment="1">
      <alignment wrapText="1"/>
    </xf>
    <xf numFmtId="0" fontId="6" fillId="0" borderId="0" xfId="0" applyFont="1" applyAlignment="1">
      <alignment horizontal="left" wrapText="1"/>
    </xf>
    <xf numFmtId="0" fontId="16" fillId="0" borderId="0" xfId="0" applyFont="1" applyAlignment="1">
      <alignment wrapText="1"/>
    </xf>
    <xf numFmtId="0" fontId="6" fillId="0" borderId="0" xfId="0" applyFont="1" applyAlignment="1">
      <alignment horizontal="left" vertical="top" wrapText="1"/>
    </xf>
    <xf numFmtId="0" fontId="16" fillId="0" borderId="0" xfId="0" applyFont="1" applyAlignment="1">
      <alignment vertical="top" wrapText="1"/>
    </xf>
    <xf numFmtId="0" fontId="6" fillId="0" borderId="0" xfId="0" applyFont="1" applyAlignment="1">
      <alignment horizontal="center"/>
    </xf>
    <xf numFmtId="0" fontId="12" fillId="0" borderId="0" xfId="0" applyFont="1" applyAlignment="1">
      <alignment horizontal="center"/>
    </xf>
    <xf numFmtId="0" fontId="13" fillId="0" borderId="0" xfId="0" applyFont="1" applyAlignment="1">
      <alignment horizontal="center"/>
    </xf>
    <xf numFmtId="0" fontId="0" fillId="0" borderId="0" xfId="0" applyAlignment="1">
      <alignment vertical="top" wrapText="1"/>
    </xf>
    <xf numFmtId="178" fontId="37" fillId="2" borderId="21" xfId="0" applyNumberFormat="1" applyFont="1" applyFill="1" applyBorder="1" applyAlignment="1" applyProtection="1">
      <alignment horizontal="center"/>
      <protection locked="0"/>
    </xf>
    <xf numFmtId="178" fontId="37" fillId="2" borderId="4" xfId="0" applyNumberFormat="1" applyFont="1" applyFill="1" applyBorder="1" applyAlignment="1" applyProtection="1">
      <alignment horizontal="center"/>
      <protection locked="0"/>
    </xf>
    <xf numFmtId="0" fontId="37" fillId="3" borderId="0" xfId="0" applyFont="1" applyFill="1" applyBorder="1" applyAlignment="1"/>
    <xf numFmtId="0" fontId="37" fillId="0" borderId="0" xfId="0" applyFont="1" applyBorder="1" applyAlignment="1"/>
    <xf numFmtId="0" fontId="53" fillId="3" borderId="0" xfId="0" applyFont="1" applyFill="1" applyAlignment="1">
      <alignment horizontal="center"/>
    </xf>
    <xf numFmtId="0" fontId="37" fillId="3" borderId="0" xfId="0" applyFont="1" applyFill="1" applyAlignment="1">
      <alignment wrapText="1"/>
    </xf>
    <xf numFmtId="0" fontId="37" fillId="0" borderId="0" xfId="0" applyFont="1" applyAlignment="1">
      <alignment wrapText="1"/>
    </xf>
    <xf numFmtId="178" fontId="37" fillId="3" borderId="0" xfId="0" applyNumberFormat="1" applyFont="1" applyFill="1" applyAlignment="1">
      <alignment horizontal="center"/>
    </xf>
    <xf numFmtId="178" fontId="37" fillId="3" borderId="0" xfId="0" applyNumberFormat="1" applyFont="1" applyFill="1" applyAlignment="1"/>
    <xf numFmtId="0" fontId="53" fillId="3" borderId="19" xfId="0" applyFont="1" applyFill="1" applyBorder="1" applyAlignment="1">
      <alignment horizontal="center" vertical="center"/>
    </xf>
    <xf numFmtId="0" fontId="53" fillId="3" borderId="0" xfId="0" applyFont="1" applyFill="1" applyAlignment="1">
      <alignment horizontal="center" wrapText="1"/>
    </xf>
    <xf numFmtId="0" fontId="37" fillId="0" borderId="0" xfId="0" applyFont="1" applyAlignment="1">
      <alignment horizontal="center" wrapText="1"/>
    </xf>
    <xf numFmtId="0" fontId="53" fillId="3" borderId="0" xfId="0" applyFont="1" applyFill="1" applyAlignment="1">
      <alignment horizontal="center" vertical="center"/>
    </xf>
    <xf numFmtId="0" fontId="53" fillId="0" borderId="0" xfId="0" applyFont="1" applyAlignment="1">
      <alignment horizontal="center" vertical="center"/>
    </xf>
    <xf numFmtId="0" fontId="37" fillId="3" borderId="24" xfId="0" applyFont="1" applyFill="1" applyBorder="1" applyAlignment="1"/>
    <xf numFmtId="0" fontId="37" fillId="3" borderId="25" xfId="0" applyFont="1" applyFill="1" applyBorder="1" applyAlignment="1"/>
    <xf numFmtId="5" fontId="37" fillId="3" borderId="4" xfId="0" applyNumberFormat="1" applyFont="1" applyFill="1" applyBorder="1" applyAlignment="1">
      <alignment horizontal="center"/>
    </xf>
    <xf numFmtId="0" fontId="37" fillId="3" borderId="0" xfId="0" applyFont="1" applyFill="1" applyBorder="1" applyAlignment="1">
      <alignment horizontal="center"/>
    </xf>
    <xf numFmtId="178" fontId="37" fillId="3" borderId="0" xfId="0" applyNumberFormat="1" applyFont="1" applyFill="1" applyBorder="1" applyAlignment="1">
      <alignment horizontal="center"/>
    </xf>
    <xf numFmtId="0" fontId="37" fillId="0" borderId="19" xfId="0" applyFont="1" applyBorder="1" applyAlignment="1">
      <alignment horizontal="center" vertical="center"/>
    </xf>
    <xf numFmtId="0" fontId="53" fillId="3" borderId="0" xfId="0" applyFont="1" applyFill="1" applyBorder="1" applyAlignment="1">
      <alignment horizontal="center" wrapText="1"/>
    </xf>
    <xf numFmtId="0" fontId="53" fillId="0" borderId="0" xfId="0" applyFont="1" applyAlignment="1">
      <alignment horizontal="center" wrapText="1"/>
    </xf>
    <xf numFmtId="0" fontId="37" fillId="3" borderId="0" xfId="0" applyFont="1" applyFill="1" applyBorder="1" applyAlignment="1">
      <alignment wrapText="1"/>
    </xf>
    <xf numFmtId="174" fontId="37" fillId="2" borderId="4" xfId="0" applyNumberFormat="1" applyFont="1" applyFill="1" applyBorder="1" applyAlignment="1" applyProtection="1">
      <alignment horizontal="center"/>
      <protection locked="0"/>
    </xf>
    <xf numFmtId="179" fontId="37" fillId="3" borderId="0" xfId="0" applyNumberFormat="1" applyFont="1" applyFill="1" applyBorder="1" applyAlignment="1">
      <alignment horizontal="center"/>
    </xf>
    <xf numFmtId="179" fontId="37" fillId="0" borderId="22" xfId="0" applyNumberFormat="1" applyFont="1" applyBorder="1" applyAlignment="1">
      <alignment horizontal="center"/>
    </xf>
    <xf numFmtId="0" fontId="37" fillId="3" borderId="9" xfId="0" applyFont="1" applyFill="1" applyBorder="1" applyAlignment="1">
      <alignment horizontal="center"/>
    </xf>
    <xf numFmtId="0" fontId="37" fillId="3" borderId="26" xfId="0" applyFont="1" applyFill="1" applyBorder="1" applyAlignment="1">
      <alignment vertical="top" wrapText="1"/>
    </xf>
    <xf numFmtId="0" fontId="37" fillId="0" borderId="0" xfId="0" applyFont="1" applyAlignment="1">
      <alignment vertical="top" wrapText="1"/>
    </xf>
    <xf numFmtId="0" fontId="37" fillId="0" borderId="22" xfId="0" applyFont="1" applyBorder="1" applyAlignment="1">
      <alignment vertical="top" wrapText="1"/>
    </xf>
    <xf numFmtId="0" fontId="37" fillId="0" borderId="22" xfId="0" applyFont="1" applyBorder="1" applyAlignment="1">
      <alignment horizontal="center"/>
    </xf>
  </cellXfs>
  <cellStyles count="424">
    <cellStyle name="Comma" xfId="1" builtinId="3"/>
    <cellStyle name="Comma 11 2" xfId="2"/>
    <cellStyle name="Comma 16" xfId="3"/>
    <cellStyle name="Comma 16 2" xfId="4"/>
    <cellStyle name="Comma 16 3" xfId="5"/>
    <cellStyle name="Comma 2 2" xfId="6"/>
    <cellStyle name="Comma 3 2" xfId="7"/>
    <cellStyle name="Comma 4 2" xfId="8"/>
    <cellStyle name="Comma 6" xfId="9"/>
    <cellStyle name="Comma 7" xfId="10"/>
    <cellStyle name="Comma 7 2" xfId="11"/>
    <cellStyle name="Comma 7 3" xfId="12"/>
    <cellStyle name="Hyperlink" xfId="13" builtinId="8"/>
    <cellStyle name="Hyperlink 2 2" xfId="14"/>
    <cellStyle name="Hyperlink 3 2" xfId="15"/>
    <cellStyle name="Hyperlink 3 3" xfId="16"/>
    <cellStyle name="Hyperlink 3 4" xfId="17"/>
    <cellStyle name="Hyperlink 4 2" xfId="18"/>
    <cellStyle name="Hyperlink 7" xfId="19"/>
    <cellStyle name="Hyperlink 7 2" xfId="20"/>
    <cellStyle name="Hyperlink 8" xfId="21"/>
    <cellStyle name="Hyperlink 8 2" xfId="22"/>
    <cellStyle name="Normal" xfId="0" builtinId="0"/>
    <cellStyle name="Normal 10" xfId="23"/>
    <cellStyle name="Normal 10 2" xfId="24"/>
    <cellStyle name="Normal 10 2 2" xfId="25"/>
    <cellStyle name="Normal 10 2 2 2" xfId="26"/>
    <cellStyle name="Normal 10 2 2 3" xfId="27"/>
    <cellStyle name="Normal 10 3" xfId="28"/>
    <cellStyle name="Normal 10 4" xfId="29"/>
    <cellStyle name="Normal 10 5" xfId="30"/>
    <cellStyle name="Normal 10 6" xfId="31"/>
    <cellStyle name="Normal 10 7" xfId="32"/>
    <cellStyle name="Normal 11" xfId="33"/>
    <cellStyle name="Normal 11 2" xfId="34"/>
    <cellStyle name="Normal 11 2 2" xfId="35"/>
    <cellStyle name="Normal 11 3" xfId="36"/>
    <cellStyle name="Normal 11 4" xfId="37"/>
    <cellStyle name="Normal 11 5" xfId="38"/>
    <cellStyle name="Normal 12" xfId="39"/>
    <cellStyle name="Normal 12 10" xfId="40"/>
    <cellStyle name="Normal 12 11" xfId="41"/>
    <cellStyle name="Normal 12 12" xfId="42"/>
    <cellStyle name="Normal 12 2" xfId="43"/>
    <cellStyle name="Normal 12 2 2" xfId="44"/>
    <cellStyle name="Normal 12 3" xfId="45"/>
    <cellStyle name="Normal 12 4" xfId="46"/>
    <cellStyle name="Normal 12 5" xfId="47"/>
    <cellStyle name="Normal 12 6" xfId="48"/>
    <cellStyle name="Normal 12 7" xfId="49"/>
    <cellStyle name="Normal 12 8" xfId="50"/>
    <cellStyle name="Normal 12 9" xfId="51"/>
    <cellStyle name="Normal 13" xfId="52"/>
    <cellStyle name="Normal 13 10" xfId="53"/>
    <cellStyle name="Normal 13 11" xfId="54"/>
    <cellStyle name="Normal 13 12" xfId="55"/>
    <cellStyle name="Normal 13 2" xfId="56"/>
    <cellStyle name="Normal 13 2 2" xfId="57"/>
    <cellStyle name="Normal 13 3" xfId="58"/>
    <cellStyle name="Normal 13 4" xfId="59"/>
    <cellStyle name="Normal 13 5" xfId="60"/>
    <cellStyle name="Normal 13 6" xfId="61"/>
    <cellStyle name="Normal 13 7" xfId="62"/>
    <cellStyle name="Normal 13 8" xfId="63"/>
    <cellStyle name="Normal 13 9" xfId="64"/>
    <cellStyle name="Normal 14" xfId="65"/>
    <cellStyle name="Normal 14 2" xfId="66"/>
    <cellStyle name="Normal 14 3" xfId="67"/>
    <cellStyle name="Normal 14 4" xfId="68"/>
    <cellStyle name="Normal 14 5" xfId="69"/>
    <cellStyle name="Normal 14 6" xfId="70"/>
    <cellStyle name="Normal 14 7" xfId="71"/>
    <cellStyle name="Normal 15" xfId="72"/>
    <cellStyle name="Normal 15 2" xfId="73"/>
    <cellStyle name="Normal 15 3" xfId="74"/>
    <cellStyle name="Normal 15 4" xfId="75"/>
    <cellStyle name="Normal 16" xfId="76"/>
    <cellStyle name="Normal 16 2" xfId="77"/>
    <cellStyle name="Normal 16 3" xfId="78"/>
    <cellStyle name="Normal 16 4" xfId="79"/>
    <cellStyle name="Normal 17" xfId="80"/>
    <cellStyle name="Normal 17 2" xfId="81"/>
    <cellStyle name="Normal 17 3" xfId="82"/>
    <cellStyle name="Normal 17 4" xfId="83"/>
    <cellStyle name="Normal 18" xfId="84"/>
    <cellStyle name="Normal 18 2" xfId="85"/>
    <cellStyle name="Normal 18 2 2" xfId="86"/>
    <cellStyle name="Normal 18 2 3" xfId="87"/>
    <cellStyle name="Normal 18 3" xfId="88"/>
    <cellStyle name="Normal 18 4" xfId="89"/>
    <cellStyle name="Normal 18 5" xfId="90"/>
    <cellStyle name="Normal 18 6" xfId="91"/>
    <cellStyle name="Normal 18 7" xfId="92"/>
    <cellStyle name="Normal 18 8" xfId="93"/>
    <cellStyle name="Normal 19" xfId="94"/>
    <cellStyle name="Normal 19 2" xfId="95"/>
    <cellStyle name="Normal 19 2 2" xfId="96"/>
    <cellStyle name="Normal 19 2 3" xfId="97"/>
    <cellStyle name="Normal 19 3" xfId="98"/>
    <cellStyle name="Normal 19 4" xfId="99"/>
    <cellStyle name="Normal 19 5" xfId="100"/>
    <cellStyle name="Normal 19 6" xfId="101"/>
    <cellStyle name="Normal 19 7" xfId="102"/>
    <cellStyle name="Normal 2" xfId="103"/>
    <cellStyle name="Normal 2 10" xfId="104"/>
    <cellStyle name="Normal 2 10 10" xfId="105"/>
    <cellStyle name="Normal 2 10 11" xfId="106"/>
    <cellStyle name="Normal 2 10 11 2" xfId="107"/>
    <cellStyle name="Normal 2 10 12" xfId="108"/>
    <cellStyle name="Normal 2 10 2" xfId="109"/>
    <cellStyle name="Normal 2 10 2 2" xfId="110"/>
    <cellStyle name="Normal 2 10 3" xfId="111"/>
    <cellStyle name="Normal 2 10 3 2" xfId="112"/>
    <cellStyle name="Normal 2 10 4" xfId="113"/>
    <cellStyle name="Normal 2 10 4 2" xfId="114"/>
    <cellStyle name="Normal 2 10 5" xfId="115"/>
    <cellStyle name="Normal 2 10 5 2" xfId="116"/>
    <cellStyle name="Normal 2 10 6" xfId="117"/>
    <cellStyle name="Normal 2 10 6 2" xfId="118"/>
    <cellStyle name="Normal 2 10 7" xfId="119"/>
    <cellStyle name="Normal 2 10 7 2" xfId="120"/>
    <cellStyle name="Normal 2 10 8" xfId="121"/>
    <cellStyle name="Normal 2 10 8 2" xfId="122"/>
    <cellStyle name="Normal 2 10 9" xfId="123"/>
    <cellStyle name="Normal 2 11" xfId="124"/>
    <cellStyle name="Normal 2 11 10" xfId="125"/>
    <cellStyle name="Normal 2 11 11" xfId="126"/>
    <cellStyle name="Normal 2 11 2" xfId="127"/>
    <cellStyle name="Normal 2 11 2 2" xfId="128"/>
    <cellStyle name="Normal 2 11 3" xfId="129"/>
    <cellStyle name="Normal 2 11 3 2" xfId="130"/>
    <cellStyle name="Normal 2 11 4" xfId="131"/>
    <cellStyle name="Normal 2 11 4 2" xfId="132"/>
    <cellStyle name="Normal 2 11 5" xfId="133"/>
    <cellStyle name="Normal 2 11 5 2" xfId="134"/>
    <cellStyle name="Normal 2 11 6" xfId="135"/>
    <cellStyle name="Normal 2 11 6 2" xfId="136"/>
    <cellStyle name="Normal 2 11 7" xfId="137"/>
    <cellStyle name="Normal 2 11 7 2" xfId="138"/>
    <cellStyle name="Normal 2 11 8" xfId="139"/>
    <cellStyle name="Normal 2 11 8 2" xfId="140"/>
    <cellStyle name="Normal 2 11 9" xfId="141"/>
    <cellStyle name="Normal 2 12" xfId="142"/>
    <cellStyle name="Normal 2 13" xfId="143"/>
    <cellStyle name="Normal 2 14" xfId="144"/>
    <cellStyle name="Normal 2 15" xfId="145"/>
    <cellStyle name="Normal 2 16" xfId="146"/>
    <cellStyle name="Normal 2 2" xfId="147"/>
    <cellStyle name="Normal 2 2 10" xfId="148"/>
    <cellStyle name="Normal 2 2 10 2" xfId="149"/>
    <cellStyle name="Normal 2 2 11" xfId="150"/>
    <cellStyle name="Normal 2 2 11 2" xfId="151"/>
    <cellStyle name="Normal 2 2 12" xfId="152"/>
    <cellStyle name="Normal 2 2 12 2" xfId="153"/>
    <cellStyle name="Normal 2 2 12 2 2" xfId="154"/>
    <cellStyle name="Normal 2 2 12 2 3" xfId="155"/>
    <cellStyle name="Normal 2 2 12 3" xfId="156"/>
    <cellStyle name="Normal 2 2 12 4" xfId="157"/>
    <cellStyle name="Normal 2 2 13" xfId="158"/>
    <cellStyle name="Normal 2 2 13 2" xfId="159"/>
    <cellStyle name="Normal 2 2 13 2 2" xfId="160"/>
    <cellStyle name="Normal 2 2 13 2 3" xfId="161"/>
    <cellStyle name="Normal 2 2 13 3" xfId="162"/>
    <cellStyle name="Normal 2 2 13 4" xfId="163"/>
    <cellStyle name="Normal 2 2 14" xfId="164"/>
    <cellStyle name="Normal 2 2 14 2" xfId="165"/>
    <cellStyle name="Normal 2 2 15" xfId="166"/>
    <cellStyle name="Normal 2 2 15 2" xfId="167"/>
    <cellStyle name="Normal 2 2 16" xfId="168"/>
    <cellStyle name="Normal 2 2 16 2" xfId="169"/>
    <cellStyle name="Normal 2 2 16 3" xfId="170"/>
    <cellStyle name="Normal 2 2 17" xfId="171"/>
    <cellStyle name="Normal 2 2 18" xfId="172"/>
    <cellStyle name="Normal 2 2 19" xfId="173"/>
    <cellStyle name="Normal 2 2 2" xfId="174"/>
    <cellStyle name="Normal 2 2 2 2" xfId="175"/>
    <cellStyle name="Normal 2 2 2 2 2" xfId="176"/>
    <cellStyle name="Normal 2 2 2 2 3" xfId="177"/>
    <cellStyle name="Normal 2 2 2 3" xfId="178"/>
    <cellStyle name="Normal 2 2 2 3 2" xfId="179"/>
    <cellStyle name="Normal 2 2 2 4" xfId="180"/>
    <cellStyle name="Normal 2 2 2 4 2" xfId="181"/>
    <cellStyle name="Normal 2 2 2 5" xfId="182"/>
    <cellStyle name="Normal 2 2 2 5 2" xfId="183"/>
    <cellStyle name="Normal 2 2 2 6" xfId="184"/>
    <cellStyle name="Normal 2 2 2 6 2" xfId="185"/>
    <cellStyle name="Normal 2 2 2 7" xfId="186"/>
    <cellStyle name="Normal 2 2 2 8" xfId="187"/>
    <cellStyle name="Normal 2 2 20" xfId="188"/>
    <cellStyle name="Normal 2 2 21" xfId="189"/>
    <cellStyle name="Normal 2 2 3" xfId="190"/>
    <cellStyle name="Normal 2 2 3 2" xfId="191"/>
    <cellStyle name="Normal 2 2 4" xfId="192"/>
    <cellStyle name="Normal 2 2 4 2" xfId="193"/>
    <cellStyle name="Normal 2 2 5" xfId="194"/>
    <cellStyle name="Normal 2 2 5 2" xfId="195"/>
    <cellStyle name="Normal 2 2 6" xfId="196"/>
    <cellStyle name="Normal 2 2 6 2" xfId="197"/>
    <cellStyle name="Normal 2 2 7" xfId="198"/>
    <cellStyle name="Normal 2 2 7 2" xfId="199"/>
    <cellStyle name="Normal 2 2 8" xfId="200"/>
    <cellStyle name="Normal 2 2 8 2" xfId="201"/>
    <cellStyle name="Normal 2 2 9" xfId="202"/>
    <cellStyle name="Normal 2 2 9 2" xfId="203"/>
    <cellStyle name="Normal 2 3" xfId="204"/>
    <cellStyle name="Normal 2 3 10" xfId="205"/>
    <cellStyle name="Normal 2 3 11" xfId="206"/>
    <cellStyle name="Normal 2 3 12" xfId="207"/>
    <cellStyle name="Normal 2 3 13" xfId="208"/>
    <cellStyle name="Normal 2 3 14" xfId="209"/>
    <cellStyle name="Normal 2 3 15" xfId="210"/>
    <cellStyle name="Normal 2 3 2" xfId="211"/>
    <cellStyle name="Normal 2 3 2 2" xfId="212"/>
    <cellStyle name="Normal 2 3 2 2 2" xfId="213"/>
    <cellStyle name="Normal 2 3 2 2 3" xfId="214"/>
    <cellStyle name="Normal 2 3 2 3" xfId="215"/>
    <cellStyle name="Normal 2 3 2 4" xfId="216"/>
    <cellStyle name="Normal 2 3 2 5" xfId="217"/>
    <cellStyle name="Normal 2 3 3" xfId="218"/>
    <cellStyle name="Normal 2 3 3 2" xfId="219"/>
    <cellStyle name="Normal 2 3 3 3" xfId="220"/>
    <cellStyle name="Normal 2 3 4" xfId="221"/>
    <cellStyle name="Normal 2 3 5" xfId="222"/>
    <cellStyle name="Normal 2 3 6" xfId="223"/>
    <cellStyle name="Normal 2 3 7" xfId="224"/>
    <cellStyle name="Normal 2 3 8" xfId="225"/>
    <cellStyle name="Normal 2 3 9" xfId="226"/>
    <cellStyle name="Normal 2 4" xfId="227"/>
    <cellStyle name="Normal 2 4 10" xfId="228"/>
    <cellStyle name="Normal 2 4 11" xfId="229"/>
    <cellStyle name="Normal 2 4 12" xfId="230"/>
    <cellStyle name="Normal 2 4 13" xfId="231"/>
    <cellStyle name="Normal 2 4 2" xfId="232"/>
    <cellStyle name="Normal 2 4 2 2" xfId="233"/>
    <cellStyle name="Normal 2 4 2 2 2" xfId="234"/>
    <cellStyle name="Normal 2 4 2 2 3" xfId="235"/>
    <cellStyle name="Normal 2 4 2 3" xfId="236"/>
    <cellStyle name="Normal 2 4 2 4" xfId="237"/>
    <cellStyle name="Normal 2 4 2 5" xfId="238"/>
    <cellStyle name="Normal 2 4 3" xfId="239"/>
    <cellStyle name="Normal 2 4 3 2" xfId="240"/>
    <cellStyle name="Normal 2 4 3 3" xfId="241"/>
    <cellStyle name="Normal 2 4 4" xfId="242"/>
    <cellStyle name="Normal 2 4 5" xfId="243"/>
    <cellStyle name="Normal 2 4 6" xfId="244"/>
    <cellStyle name="Normal 2 4 7" xfId="245"/>
    <cellStyle name="Normal 2 4 8" xfId="246"/>
    <cellStyle name="Normal 2 4 9" xfId="247"/>
    <cellStyle name="Normal 2 5" xfId="248"/>
    <cellStyle name="Normal 2 5 10" xfId="249"/>
    <cellStyle name="Normal 2 5 11" xfId="250"/>
    <cellStyle name="Normal 2 5 12" xfId="251"/>
    <cellStyle name="Normal 2 5 12 2" xfId="252"/>
    <cellStyle name="Normal 2 5 12 3" xfId="253"/>
    <cellStyle name="Normal 2 5 2" xfId="254"/>
    <cellStyle name="Normal 2 5 2 2" xfId="255"/>
    <cellStyle name="Normal 2 5 3" xfId="256"/>
    <cellStyle name="Normal 2 5 3 2" xfId="257"/>
    <cellStyle name="Normal 2 5 4" xfId="258"/>
    <cellStyle name="Normal 2 5 5" xfId="259"/>
    <cellStyle name="Normal 2 5 6" xfId="260"/>
    <cellStyle name="Normal 2 5 7" xfId="261"/>
    <cellStyle name="Normal 2 5 8" xfId="262"/>
    <cellStyle name="Normal 2 5 9" xfId="263"/>
    <cellStyle name="Normal 2 6" xfId="264"/>
    <cellStyle name="Normal 2 6 10" xfId="265"/>
    <cellStyle name="Normal 2 6 11" xfId="266"/>
    <cellStyle name="Normal 2 6 12" xfId="267"/>
    <cellStyle name="Normal 2 6 2" xfId="268"/>
    <cellStyle name="Normal 2 6 2 2" xfId="269"/>
    <cellStyle name="Normal 2 6 3" xfId="270"/>
    <cellStyle name="Normal 2 6 3 2" xfId="271"/>
    <cellStyle name="Normal 2 6 4" xfId="272"/>
    <cellStyle name="Normal 2 6 5" xfId="273"/>
    <cellStyle name="Normal 2 6 6" xfId="274"/>
    <cellStyle name="Normal 2 6 7" xfId="275"/>
    <cellStyle name="Normal 2 6 8" xfId="276"/>
    <cellStyle name="Normal 2 6 9" xfId="277"/>
    <cellStyle name="Normal 2 7" xfId="278"/>
    <cellStyle name="Normal 2 7 10" xfId="279"/>
    <cellStyle name="Normal 2 7 2" xfId="280"/>
    <cellStyle name="Normal 2 7 2 2" xfId="281"/>
    <cellStyle name="Normal 2 7 2 3" xfId="282"/>
    <cellStyle name="Normal 2 7 3" xfId="283"/>
    <cellStyle name="Normal 2 7 3 2" xfId="284"/>
    <cellStyle name="Normal 2 7 4" xfId="285"/>
    <cellStyle name="Normal 2 7 4 2" xfId="286"/>
    <cellStyle name="Normal 2 7 5" xfId="287"/>
    <cellStyle name="Normal 2 7 5 2" xfId="288"/>
    <cellStyle name="Normal 2 7 6" xfId="289"/>
    <cellStyle name="Normal 2 7 6 2" xfId="290"/>
    <cellStyle name="Normal 2 7 7" xfId="291"/>
    <cellStyle name="Normal 2 7 7 2" xfId="292"/>
    <cellStyle name="Normal 2 7 8" xfId="293"/>
    <cellStyle name="Normal 2 7 8 2" xfId="294"/>
    <cellStyle name="Normal 2 7 9" xfId="295"/>
    <cellStyle name="Normal 2 8" xfId="296"/>
    <cellStyle name="Normal 2 8 10" xfId="297"/>
    <cellStyle name="Normal 2 8 11" xfId="298"/>
    <cellStyle name="Normal 2 8 2" xfId="299"/>
    <cellStyle name="Normal 2 8 2 2" xfId="300"/>
    <cellStyle name="Normal 2 8 3" xfId="301"/>
    <cellStyle name="Normal 2 8 3 2" xfId="302"/>
    <cellStyle name="Normal 2 8 4" xfId="303"/>
    <cellStyle name="Normal 2 8 4 2" xfId="304"/>
    <cellStyle name="Normal 2 8 5" xfId="305"/>
    <cellStyle name="Normal 2 8 5 2" xfId="306"/>
    <cellStyle name="Normal 2 8 6" xfId="307"/>
    <cellStyle name="Normal 2 8 6 2" xfId="308"/>
    <cellStyle name="Normal 2 8 7" xfId="309"/>
    <cellStyle name="Normal 2 8 7 2" xfId="310"/>
    <cellStyle name="Normal 2 8 8" xfId="311"/>
    <cellStyle name="Normal 2 8 8 2" xfId="312"/>
    <cellStyle name="Normal 2 8 9" xfId="313"/>
    <cellStyle name="Normal 2 9" xfId="314"/>
    <cellStyle name="Normal 2 9 10" xfId="315"/>
    <cellStyle name="Normal 2 9 11" xfId="316"/>
    <cellStyle name="Normal 2 9 2" xfId="317"/>
    <cellStyle name="Normal 2 9 2 2" xfId="318"/>
    <cellStyle name="Normal 2 9 3" xfId="319"/>
    <cellStyle name="Normal 2 9 3 2" xfId="320"/>
    <cellStyle name="Normal 2 9 4" xfId="321"/>
    <cellStyle name="Normal 2 9 4 2" xfId="322"/>
    <cellStyle name="Normal 2 9 5" xfId="323"/>
    <cellStyle name="Normal 2 9 5 2" xfId="324"/>
    <cellStyle name="Normal 2 9 6" xfId="325"/>
    <cellStyle name="Normal 2 9 6 2" xfId="326"/>
    <cellStyle name="Normal 2 9 7" xfId="327"/>
    <cellStyle name="Normal 2 9 7 2" xfId="328"/>
    <cellStyle name="Normal 2 9 8" xfId="329"/>
    <cellStyle name="Normal 2 9 8 2" xfId="330"/>
    <cellStyle name="Normal 2 9 9" xfId="331"/>
    <cellStyle name="Normal 20" xfId="332"/>
    <cellStyle name="Normal 20 2" xfId="333"/>
    <cellStyle name="Normal 20 3" xfId="334"/>
    <cellStyle name="Normal 21" xfId="335"/>
    <cellStyle name="Normal 21 2" xfId="336"/>
    <cellStyle name="Normal 22" xfId="337"/>
    <cellStyle name="Normal 22 2" xfId="338"/>
    <cellStyle name="Normal 22 3" xfId="339"/>
    <cellStyle name="Normal 23" xfId="340"/>
    <cellStyle name="Normal 23 2" xfId="341"/>
    <cellStyle name="Normal 23 3" xfId="342"/>
    <cellStyle name="Normal 24" xfId="343"/>
    <cellStyle name="Normal 24 2" xfId="344"/>
    <cellStyle name="Normal 24 3" xfId="345"/>
    <cellStyle name="Normal 25" xfId="346"/>
    <cellStyle name="Normal 25 2" xfId="347"/>
    <cellStyle name="Normal 25 3" xfId="348"/>
    <cellStyle name="Normal 26" xfId="349"/>
    <cellStyle name="Normal 3" xfId="350"/>
    <cellStyle name="Normal 3 2" xfId="351"/>
    <cellStyle name="Normal 3 2 2" xfId="352"/>
    <cellStyle name="Normal 3 2 2 2" xfId="353"/>
    <cellStyle name="Normal 3 2 2 3" xfId="354"/>
    <cellStyle name="Normal 3 2 3" xfId="355"/>
    <cellStyle name="Normal 3 2 4" xfId="356"/>
    <cellStyle name="Normal 3 2 5" xfId="357"/>
    <cellStyle name="Normal 3 3" xfId="358"/>
    <cellStyle name="Normal 3 3 2" xfId="359"/>
    <cellStyle name="Normal 3 3 2 2" xfId="360"/>
    <cellStyle name="Normal 3 3 2 3" xfId="361"/>
    <cellStyle name="Normal 3 3 3" xfId="362"/>
    <cellStyle name="Normal 3 3 4" xfId="363"/>
    <cellStyle name="Normal 3 4" xfId="364"/>
    <cellStyle name="Normal 3 5" xfId="365"/>
    <cellStyle name="Normal 3 6" xfId="366"/>
    <cellStyle name="Normal 3 7" xfId="367"/>
    <cellStyle name="Normal 3 8" xfId="368"/>
    <cellStyle name="Normal 3 9" xfId="369"/>
    <cellStyle name="Normal 4 2" xfId="370"/>
    <cellStyle name="Normal 4 2 2" xfId="371"/>
    <cellStyle name="Normal 4 2 2 2" xfId="372"/>
    <cellStyle name="Normal 4 2 2 3" xfId="373"/>
    <cellStyle name="Normal 4 2 3" xfId="374"/>
    <cellStyle name="Normal 4 2 4" xfId="375"/>
    <cellStyle name="Normal 4 2 5" xfId="376"/>
    <cellStyle name="Normal 4 3" xfId="377"/>
    <cellStyle name="Normal 4 3 2" xfId="378"/>
    <cellStyle name="Normal 4 3 3" xfId="379"/>
    <cellStyle name="Normal 4 4" xfId="380"/>
    <cellStyle name="Normal 4 5" xfId="381"/>
    <cellStyle name="Normal 4 6" xfId="382"/>
    <cellStyle name="Normal 5" xfId="383"/>
    <cellStyle name="Normal 5 2" xfId="384"/>
    <cellStyle name="Normal 5 3" xfId="385"/>
    <cellStyle name="Normal 5 3 2" xfId="386"/>
    <cellStyle name="Normal 5 3 3" xfId="387"/>
    <cellStyle name="Normal 5 4" xfId="388"/>
    <cellStyle name="Normal 5 5" xfId="389"/>
    <cellStyle name="Normal 6" xfId="390"/>
    <cellStyle name="Normal 6 2" xfId="391"/>
    <cellStyle name="Normal 6 3" xfId="392"/>
    <cellStyle name="Normal 6 4" xfId="393"/>
    <cellStyle name="Normal 6 5" xfId="394"/>
    <cellStyle name="Normal 7" xfId="395"/>
    <cellStyle name="Normal 7 2" xfId="396"/>
    <cellStyle name="Normal 7 2 2" xfId="397"/>
    <cellStyle name="Normal 7 2 2 2" xfId="398"/>
    <cellStyle name="Normal 7 2 3" xfId="399"/>
    <cellStyle name="Normal 7 2 4" xfId="400"/>
    <cellStyle name="Normal 7 2 5" xfId="401"/>
    <cellStyle name="Normal 7 3" xfId="402"/>
    <cellStyle name="Normal 7 4" xfId="403"/>
    <cellStyle name="Normal 7 4 2" xfId="404"/>
    <cellStyle name="Normal 7 4 3" xfId="405"/>
    <cellStyle name="Normal 7 5" xfId="406"/>
    <cellStyle name="Normal 7 5 2" xfId="407"/>
    <cellStyle name="Normal 7 5 3" xfId="408"/>
    <cellStyle name="Normal 7 5 4" xfId="409"/>
    <cellStyle name="Normal 7 6" xfId="410"/>
    <cellStyle name="Normal 7 7" xfId="411"/>
    <cellStyle name="Normal 8" xfId="412"/>
    <cellStyle name="Normal 8 2" xfId="413"/>
    <cellStyle name="Normal 9" xfId="414"/>
    <cellStyle name="Normal 9 2" xfId="415"/>
    <cellStyle name="Normal 9 2 2" xfId="416"/>
    <cellStyle name="Normal 9 3" xfId="417"/>
    <cellStyle name="Normal 9 4" xfId="418"/>
    <cellStyle name="Normal 9 5" xfId="419"/>
    <cellStyle name="Normal 9 6" xfId="420"/>
    <cellStyle name="Normal_debt" xfId="421"/>
    <cellStyle name="Normal_lpform" xfId="422"/>
    <cellStyle name="Normal_Township 07" xfId="423"/>
  </cellStyles>
  <dxfs count="6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ill>
        <patternFill>
          <bgColor rgb="FFFF0000"/>
        </patternFill>
      </fill>
    </dxf>
    <dxf>
      <fill>
        <patternFill>
          <bgColor rgb="FFFF000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8" Type="http://schemas.openxmlformats.org/officeDocument/2006/relationships/hyperlink" Target="http://www.ksrevenue.org/" TargetMode="External"/><Relationship Id="rId3" Type="http://schemas.openxmlformats.org/officeDocument/2006/relationships/hyperlink" Target="http://www.lkm.org/resources/budgettips/" TargetMode="External"/><Relationship Id="rId7" Type="http://schemas.openxmlformats.org/officeDocument/2006/relationships/hyperlink" Target="http://www.kansasstatetreasurer.com/prodweb/dist/index.php" TargetMode="External"/><Relationship Id="rId2" Type="http://schemas.openxmlformats.org/officeDocument/2006/relationships/hyperlink" Target="http://www.da.ks.gov/ar/setoff/" TargetMode="External"/><Relationship Id="rId1" Type="http://schemas.openxmlformats.org/officeDocument/2006/relationships/hyperlink" Target="http://www.da.ks.gov/ar/muniserv/" TargetMode="External"/><Relationship Id="rId6" Type="http://schemas.openxmlformats.org/officeDocument/2006/relationships/hyperlink" Target="http://ksag.washburnlaw.edu/" TargetMode="External"/><Relationship Id="rId5" Type="http://schemas.openxmlformats.org/officeDocument/2006/relationships/hyperlink" Target="http://www.kslegislature.org/legsrv-statutes/index.do" TargetMode="External"/><Relationship Id="rId10" Type="http://schemas.openxmlformats.org/officeDocument/2006/relationships/hyperlink" Target="https://www.pooledmoneyinvestmentboard.com/" TargetMode="External"/><Relationship Id="rId4" Type="http://schemas.openxmlformats.org/officeDocument/2006/relationships/hyperlink" Target="http://www.lkm.org/publications/dokpopop.html" TargetMode="External"/><Relationship Id="rId9" Type="http://schemas.openxmlformats.org/officeDocument/2006/relationships/hyperlink" Target="http://www.ksrevenue.org/pvd.htm"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B92"/>
  <sheetViews>
    <sheetView zoomScaleNormal="75" workbookViewId="0">
      <selection activeCell="H11" sqref="H11"/>
    </sheetView>
  </sheetViews>
  <sheetFormatPr defaultRowHeight="15.75"/>
  <cols>
    <col min="1" max="1" width="81.6640625" style="95" customWidth="1"/>
    <col min="2" max="16384" width="8.88671875" style="95"/>
  </cols>
  <sheetData>
    <row r="1" spans="1:2">
      <c r="A1" s="321" t="s">
        <v>445</v>
      </c>
      <c r="B1" s="322"/>
    </row>
    <row r="2" spans="1:2">
      <c r="A2" s="321"/>
      <c r="B2" s="322"/>
    </row>
    <row r="3" spans="1:2" ht="35.25" customHeight="1">
      <c r="A3" s="633" t="s">
        <v>77</v>
      </c>
    </row>
    <row r="4" spans="1:2">
      <c r="A4" s="323"/>
    </row>
    <row r="5" spans="1:2">
      <c r="A5" s="323" t="s">
        <v>596</v>
      </c>
    </row>
    <row r="6" spans="1:2">
      <c r="A6" s="323"/>
    </row>
    <row r="7" spans="1:2" ht="57.75" customHeight="1">
      <c r="A7" s="324" t="s">
        <v>634</v>
      </c>
    </row>
    <row r="8" spans="1:2">
      <c r="A8" s="323"/>
    </row>
    <row r="9" spans="1:2">
      <c r="A9" s="325" t="s">
        <v>590</v>
      </c>
      <c r="B9" s="322"/>
    </row>
    <row r="10" spans="1:2">
      <c r="A10" s="325"/>
      <c r="B10" s="322"/>
    </row>
    <row r="11" spans="1:2">
      <c r="A11" s="323" t="s">
        <v>591</v>
      </c>
      <c r="B11" s="322"/>
    </row>
    <row r="12" spans="1:2" ht="14.25" customHeight="1">
      <c r="A12" s="143"/>
    </row>
    <row r="13" spans="1:2" s="315" customFormat="1" ht="42" customHeight="1">
      <c r="A13" s="326" t="s">
        <v>635</v>
      </c>
    </row>
    <row r="16" spans="1:2">
      <c r="A16" s="325" t="s">
        <v>373</v>
      </c>
    </row>
    <row r="17" spans="1:1">
      <c r="A17" s="143"/>
    </row>
    <row r="18" spans="1:1">
      <c r="A18" s="251" t="s">
        <v>585</v>
      </c>
    </row>
    <row r="19" spans="1:1" ht="17.25" customHeight="1">
      <c r="A19" s="326" t="s">
        <v>497</v>
      </c>
    </row>
    <row r="20" spans="1:1" ht="24.75" customHeight="1">
      <c r="A20" s="327" t="s">
        <v>496</v>
      </c>
    </row>
    <row r="21" spans="1:1" ht="52.5" customHeight="1">
      <c r="A21" s="328" t="s">
        <v>498</v>
      </c>
    </row>
    <row r="22" spans="1:1" ht="20.25" customHeight="1">
      <c r="A22" s="329" t="s">
        <v>546</v>
      </c>
    </row>
    <row r="23" spans="1:1" s="330" customFormat="1" ht="20.25" customHeight="1">
      <c r="A23" s="286" t="s">
        <v>589</v>
      </c>
    </row>
    <row r="24" spans="1:1" ht="21" customHeight="1">
      <c r="A24" s="326" t="s">
        <v>444</v>
      </c>
    </row>
    <row r="25" spans="1:1">
      <c r="A25" s="143"/>
    </row>
    <row r="26" spans="1:1">
      <c r="A26" s="331" t="s">
        <v>374</v>
      </c>
    </row>
    <row r="28" spans="1:1" ht="21" customHeight="1">
      <c r="A28" s="315" t="s">
        <v>516</v>
      </c>
    </row>
    <row r="30" spans="1:1" ht="71.25" customHeight="1">
      <c r="A30" s="315" t="s">
        <v>69</v>
      </c>
    </row>
    <row r="31" spans="1:1" ht="49.5" customHeight="1">
      <c r="A31" s="332" t="s">
        <v>588</v>
      </c>
    </row>
    <row r="32" spans="1:1" ht="89.25" customHeight="1">
      <c r="A32" s="332" t="s">
        <v>276</v>
      </c>
    </row>
    <row r="33" spans="1:1" ht="15.75" customHeight="1">
      <c r="A33" s="332"/>
    </row>
    <row r="34" spans="1:1" ht="59.25" customHeight="1">
      <c r="A34" s="315" t="s">
        <v>278</v>
      </c>
    </row>
    <row r="35" spans="1:1" ht="51.75" customHeight="1">
      <c r="A35" s="315" t="s">
        <v>279</v>
      </c>
    </row>
    <row r="36" spans="1:1" ht="93.75" customHeight="1">
      <c r="A36" s="315" t="s">
        <v>280</v>
      </c>
    </row>
    <row r="37" spans="1:1" ht="15.75" customHeight="1">
      <c r="A37" s="332"/>
    </row>
    <row r="38" spans="1:1" ht="74.099999999999994" customHeight="1">
      <c r="A38" s="615" t="s">
        <v>286</v>
      </c>
    </row>
    <row r="39" spans="1:1" ht="65.25" customHeight="1">
      <c r="A39" s="616" t="s">
        <v>282</v>
      </c>
    </row>
    <row r="40" spans="1:1" ht="64.5" customHeight="1">
      <c r="A40" s="616" t="s">
        <v>283</v>
      </c>
    </row>
    <row r="41" spans="1:1">
      <c r="A41" s="315"/>
    </row>
    <row r="42" spans="1:1" ht="70.5" customHeight="1">
      <c r="A42" s="315" t="s">
        <v>328</v>
      </c>
    </row>
    <row r="43" spans="1:1" ht="70.5" customHeight="1">
      <c r="A43" s="315" t="s">
        <v>329</v>
      </c>
    </row>
    <row r="44" spans="1:1" ht="39" customHeight="1">
      <c r="A44" s="315" t="s">
        <v>70</v>
      </c>
    </row>
    <row r="45" spans="1:1">
      <c r="A45" s="315"/>
    </row>
    <row r="46" spans="1:1" ht="71.25" customHeight="1">
      <c r="A46" s="315" t="s">
        <v>330</v>
      </c>
    </row>
    <row r="47" spans="1:1" ht="104.25" customHeight="1">
      <c r="A47" s="315" t="s">
        <v>287</v>
      </c>
    </row>
    <row r="48" spans="1:1" ht="44.25" customHeight="1">
      <c r="A48" s="315" t="s">
        <v>331</v>
      </c>
    </row>
    <row r="50" spans="1:1" ht="51.75" customHeight="1">
      <c r="A50" s="315" t="s">
        <v>289</v>
      </c>
    </row>
    <row r="52" spans="1:1" ht="35.25" customHeight="1">
      <c r="A52" s="315" t="s">
        <v>332</v>
      </c>
    </row>
    <row r="53" spans="1:1" ht="23.25" customHeight="1">
      <c r="A53" s="95" t="s">
        <v>333</v>
      </c>
    </row>
    <row r="54" spans="1:1" ht="72.75" customHeight="1">
      <c r="A54" s="315" t="s">
        <v>91</v>
      </c>
    </row>
    <row r="55" spans="1:1" ht="25.5" customHeight="1">
      <c r="A55" s="315" t="s">
        <v>334</v>
      </c>
    </row>
    <row r="57" spans="1:1" ht="72" customHeight="1">
      <c r="A57" s="315" t="s">
        <v>80</v>
      </c>
    </row>
    <row r="59" spans="1:1" ht="67.5" customHeight="1">
      <c r="A59" s="315" t="s">
        <v>295</v>
      </c>
    </row>
    <row r="60" spans="1:1">
      <c r="A60" s="315"/>
    </row>
    <row r="61" spans="1:1" ht="53.25" customHeight="1">
      <c r="A61" s="315" t="s">
        <v>71</v>
      </c>
    </row>
    <row r="62" spans="1:1" ht="84" customHeight="1">
      <c r="A62" s="519" t="s">
        <v>291</v>
      </c>
    </row>
    <row r="63" spans="1:1" ht="70.5" customHeight="1">
      <c r="A63" s="519" t="s">
        <v>292</v>
      </c>
    </row>
    <row r="64" spans="1:1" ht="53.25" customHeight="1">
      <c r="A64" s="616" t="s">
        <v>293</v>
      </c>
    </row>
    <row r="65" spans="1:1" ht="69" customHeight="1">
      <c r="A65" s="315" t="s">
        <v>294</v>
      </c>
    </row>
    <row r="66" spans="1:1" ht="90" customHeight="1">
      <c r="A66" s="315" t="s">
        <v>1</v>
      </c>
    </row>
    <row r="67" spans="1:1" ht="113.25" customHeight="1">
      <c r="A67" s="334" t="s">
        <v>2</v>
      </c>
    </row>
    <row r="68" spans="1:1" ht="105.75" customHeight="1">
      <c r="A68" s="335" t="s">
        <v>3</v>
      </c>
    </row>
    <row r="69" spans="1:1" ht="77.25" customHeight="1">
      <c r="A69" s="336" t="s">
        <v>359</v>
      </c>
    </row>
    <row r="70" spans="1:1" ht="91.5" customHeight="1">
      <c r="A70" s="315" t="s">
        <v>360</v>
      </c>
    </row>
    <row r="71" spans="1:1" ht="113.25" customHeight="1">
      <c r="A71" s="337" t="s">
        <v>361</v>
      </c>
    </row>
    <row r="72" spans="1:1" ht="11.25" customHeight="1">
      <c r="A72" s="315"/>
    </row>
    <row r="73" spans="1:1" ht="120.75" customHeight="1">
      <c r="A73" s="315" t="s">
        <v>81</v>
      </c>
    </row>
    <row r="74" spans="1:1" ht="108" customHeight="1">
      <c r="A74" s="333" t="s">
        <v>82</v>
      </c>
    </row>
    <row r="75" spans="1:1" ht="66" customHeight="1">
      <c r="A75" s="333" t="s">
        <v>83</v>
      </c>
    </row>
    <row r="76" spans="1:1" ht="21" customHeight="1">
      <c r="A76" s="315" t="s">
        <v>84</v>
      </c>
    </row>
    <row r="77" spans="1:1" ht="11.25" customHeight="1">
      <c r="A77" s="315"/>
    </row>
    <row r="78" spans="1:1" s="315" customFormat="1" ht="50.25" customHeight="1">
      <c r="A78" s="315" t="s">
        <v>85</v>
      </c>
    </row>
    <row r="79" spans="1:1" s="315" customFormat="1" ht="23.25" customHeight="1">
      <c r="A79" s="315" t="s">
        <v>88</v>
      </c>
    </row>
    <row r="80" spans="1:1" s="315" customFormat="1" ht="36.75" customHeight="1">
      <c r="A80" s="519" t="s">
        <v>296</v>
      </c>
    </row>
    <row r="81" spans="1:1" s="315" customFormat="1" ht="103.5" customHeight="1">
      <c r="A81" s="519" t="s">
        <v>297</v>
      </c>
    </row>
    <row r="82" spans="1:1" s="315" customFormat="1" ht="138.75" customHeight="1">
      <c r="A82" s="315" t="s">
        <v>298</v>
      </c>
    </row>
    <row r="83" spans="1:1" s="315" customFormat="1" ht="72" customHeight="1">
      <c r="A83" s="315" t="s">
        <v>299</v>
      </c>
    </row>
    <row r="84" spans="1:1" s="315" customFormat="1" ht="72" customHeight="1">
      <c r="A84" s="618" t="s">
        <v>0</v>
      </c>
    </row>
    <row r="86" spans="1:1" s="315" customFormat="1" ht="33.75" customHeight="1">
      <c r="A86" s="315" t="s">
        <v>86</v>
      </c>
    </row>
    <row r="88" spans="1:1" ht="21.75" customHeight="1">
      <c r="A88" s="315" t="s">
        <v>87</v>
      </c>
    </row>
    <row r="90" spans="1:1" ht="49.5" customHeight="1">
      <c r="A90" s="519" t="s">
        <v>233</v>
      </c>
    </row>
    <row r="91" spans="1:1" ht="81.75" customHeight="1">
      <c r="A91" s="519" t="s">
        <v>234</v>
      </c>
    </row>
    <row r="92" spans="1:1" ht="97.5" customHeight="1">
      <c r="A92" s="519" t="s">
        <v>235</v>
      </c>
    </row>
  </sheetData>
  <sheetProtection sheet="1"/>
  <phoneticPr fontId="0" type="noConversion"/>
  <pageMargins left="0.5" right="0.5" top="0.5" bottom="0.5" header="0.5" footer="0.5"/>
  <pageSetup orientation="portrait" blackAndWhite="1" horizontalDpi="4294967292" r:id="rId1"/>
  <headerFooter alignWithMargins="0"/>
  <rowBreaks count="1" manualBreakCount="1">
    <brk id="77" man="1"/>
  </rowBreaks>
</worksheet>
</file>

<file path=xl/worksheets/sheet10.xml><?xml version="1.0" encoding="utf-8"?>
<worksheet xmlns="http://schemas.openxmlformats.org/spreadsheetml/2006/main" xmlns:r="http://schemas.openxmlformats.org/officeDocument/2006/relationships">
  <sheetPr>
    <pageSetUpPr fitToPage="1"/>
  </sheetPr>
  <dimension ref="B1:Y43"/>
  <sheetViews>
    <sheetView zoomScale="75" workbookViewId="0">
      <selection activeCell="F41" sqref="F41"/>
    </sheetView>
  </sheetViews>
  <sheetFormatPr defaultRowHeight="15.75"/>
  <cols>
    <col min="1" max="1" width="8.88671875" style="16"/>
    <col min="2" max="2" width="20.77734375" style="16" customWidth="1"/>
    <col min="3" max="3" width="9.77734375" style="16" customWidth="1"/>
    <col min="4" max="4" width="10.77734375" style="16" customWidth="1"/>
    <col min="5" max="5" width="9.77734375" style="16" customWidth="1"/>
    <col min="6" max="6" width="17.21875" style="16" customWidth="1"/>
    <col min="7" max="12" width="9.77734375" style="16" customWidth="1"/>
    <col min="13" max="16384" width="8.88671875" style="16"/>
  </cols>
  <sheetData>
    <row r="1" spans="2:12">
      <c r="B1" s="18" t="str">
        <f ca="1">inputPrYr!$D$3</f>
        <v>Crowm Hill Cemetery</v>
      </c>
      <c r="C1" s="18"/>
      <c r="D1" s="18"/>
      <c r="E1" s="18"/>
      <c r="F1" s="18"/>
      <c r="G1" s="18"/>
      <c r="H1" s="18"/>
      <c r="I1" s="18"/>
      <c r="J1" s="18"/>
      <c r="K1" s="18"/>
      <c r="L1" s="182">
        <f ca="1">inputPrYr!D6</f>
        <v>2014</v>
      </c>
    </row>
    <row r="2" spans="2:12">
      <c r="B2" s="18" t="str">
        <f ca="1">inputPrYr!$D$4</f>
        <v xml:space="preserve">Comanche County </v>
      </c>
      <c r="C2" s="18"/>
      <c r="D2" s="18"/>
      <c r="E2" s="18"/>
      <c r="F2" s="18"/>
      <c r="G2" s="18"/>
      <c r="H2" s="18"/>
      <c r="I2" s="18"/>
      <c r="J2" s="18"/>
      <c r="K2" s="18"/>
      <c r="L2" s="138"/>
    </row>
    <row r="3" spans="2:12">
      <c r="B3" s="18"/>
      <c r="C3" s="18"/>
      <c r="D3" s="18"/>
      <c r="E3" s="18"/>
      <c r="F3" s="18"/>
      <c r="G3" s="18"/>
      <c r="H3" s="18"/>
      <c r="I3" s="18"/>
      <c r="J3" s="18"/>
      <c r="K3" s="18"/>
      <c r="L3" s="138"/>
    </row>
    <row r="4" spans="2:12" s="185" customFormat="1">
      <c r="B4" s="183" t="s">
        <v>453</v>
      </c>
      <c r="C4" s="184"/>
      <c r="D4" s="184"/>
      <c r="E4" s="24"/>
      <c r="F4" s="184"/>
      <c r="G4" s="184"/>
      <c r="H4" s="184"/>
      <c r="I4" s="184"/>
      <c r="J4" s="184"/>
      <c r="K4" s="184"/>
      <c r="L4" s="184"/>
    </row>
    <row r="5" spans="2:12" s="185" customFormat="1">
      <c r="B5" s="186"/>
      <c r="C5" s="186"/>
      <c r="D5" s="186"/>
      <c r="E5" s="186"/>
      <c r="F5" s="186"/>
      <c r="G5" s="186"/>
      <c r="H5" s="186"/>
      <c r="I5" s="186"/>
      <c r="J5" s="186"/>
      <c r="K5" s="186"/>
      <c r="L5" s="186"/>
    </row>
    <row r="6" spans="2:12" s="185" customFormat="1">
      <c r="B6" s="102" t="s">
        <v>266</v>
      </c>
      <c r="C6" s="102" t="s">
        <v>428</v>
      </c>
      <c r="D6" s="102" t="s">
        <v>436</v>
      </c>
      <c r="E6" s="102"/>
      <c r="F6" s="102" t="s">
        <v>399</v>
      </c>
      <c r="G6" s="187"/>
      <c r="H6" s="188"/>
      <c r="I6" s="187" t="s">
        <v>429</v>
      </c>
      <c r="J6" s="188"/>
      <c r="K6" s="187" t="s">
        <v>429</v>
      </c>
      <c r="L6" s="188"/>
    </row>
    <row r="7" spans="2:12" s="185" customFormat="1">
      <c r="B7" s="105" t="s">
        <v>430</v>
      </c>
      <c r="C7" s="105" t="s">
        <v>430</v>
      </c>
      <c r="D7" s="105" t="s">
        <v>431</v>
      </c>
      <c r="E7" s="105" t="s">
        <v>399</v>
      </c>
      <c r="F7" s="105" t="s">
        <v>500</v>
      </c>
      <c r="G7" s="189" t="s">
        <v>432</v>
      </c>
      <c r="H7" s="190"/>
      <c r="I7" s="189">
        <f>L1-1</f>
        <v>2013</v>
      </c>
      <c r="J7" s="190"/>
      <c r="K7" s="189">
        <f>L1</f>
        <v>2014</v>
      </c>
      <c r="L7" s="190"/>
    </row>
    <row r="8" spans="2:12" s="185" customFormat="1">
      <c r="B8" s="114" t="s">
        <v>267</v>
      </c>
      <c r="C8" s="114" t="s">
        <v>433</v>
      </c>
      <c r="D8" s="114" t="s">
        <v>411</v>
      </c>
      <c r="E8" s="114" t="s">
        <v>434</v>
      </c>
      <c r="F8" s="191" t="str">
        <f>CONCATENATE("Jan 1,",L1-1,"")</f>
        <v>Jan 1,2013</v>
      </c>
      <c r="G8" s="111" t="s">
        <v>436</v>
      </c>
      <c r="H8" s="111" t="s">
        <v>437</v>
      </c>
      <c r="I8" s="111" t="s">
        <v>436</v>
      </c>
      <c r="J8" s="111" t="s">
        <v>437</v>
      </c>
      <c r="K8" s="111" t="s">
        <v>436</v>
      </c>
      <c r="L8" s="111" t="s">
        <v>437</v>
      </c>
    </row>
    <row r="9" spans="2:12" s="185" customFormat="1">
      <c r="B9" s="33" t="s">
        <v>547</v>
      </c>
      <c r="C9" s="192"/>
      <c r="D9" s="33"/>
      <c r="E9" s="33"/>
      <c r="F9" s="33"/>
      <c r="G9" s="193"/>
      <c r="H9" s="193"/>
      <c r="I9" s="33"/>
      <c r="J9" s="33"/>
      <c r="K9" s="33"/>
      <c r="L9" s="33"/>
    </row>
    <row r="10" spans="2:12" s="185" customFormat="1">
      <c r="B10" s="194"/>
      <c r="C10" s="380"/>
      <c r="D10" s="194"/>
      <c r="E10" s="194"/>
      <c r="F10" s="56"/>
      <c r="G10" s="195"/>
      <c r="H10" s="195"/>
      <c r="I10" s="194"/>
      <c r="J10" s="194"/>
      <c r="K10" s="194"/>
      <c r="L10" s="194"/>
    </row>
    <row r="11" spans="2:12" s="185" customFormat="1">
      <c r="B11" s="34"/>
      <c r="C11" s="381"/>
      <c r="D11" s="196"/>
      <c r="E11" s="35"/>
      <c r="F11" s="35"/>
      <c r="G11" s="197"/>
      <c r="H11" s="197"/>
      <c r="I11" s="198"/>
      <c r="J11" s="198"/>
      <c r="K11" s="198"/>
      <c r="L11" s="198"/>
    </row>
    <row r="12" spans="2:12" s="185" customFormat="1">
      <c r="B12" s="199" t="s">
        <v>548</v>
      </c>
      <c r="C12" s="200"/>
      <c r="D12" s="201"/>
      <c r="E12" s="202"/>
      <c r="F12" s="203">
        <f>SUM(F10:F11)</f>
        <v>0</v>
      </c>
      <c r="G12" s="204"/>
      <c r="H12" s="204"/>
      <c r="I12" s="203">
        <f>SUM(I10:I11)</f>
        <v>0</v>
      </c>
      <c r="J12" s="203">
        <f>SUM(J10:J11)</f>
        <v>0</v>
      </c>
      <c r="K12" s="203">
        <f>SUM(K10:K11)</f>
        <v>0</v>
      </c>
      <c r="L12" s="203">
        <f>SUM(L10:L11)</f>
        <v>0</v>
      </c>
    </row>
    <row r="13" spans="2:12" s="185" customFormat="1">
      <c r="B13" s="199" t="s">
        <v>549</v>
      </c>
      <c r="C13" s="200"/>
      <c r="D13" s="201"/>
      <c r="E13" s="202"/>
      <c r="F13" s="123"/>
      <c r="G13" s="204"/>
      <c r="H13" s="204"/>
      <c r="I13" s="123"/>
      <c r="J13" s="123"/>
      <c r="K13" s="123"/>
      <c r="L13" s="123"/>
    </row>
    <row r="14" spans="2:12" s="185" customFormat="1">
      <c r="B14" s="34"/>
      <c r="C14" s="381"/>
      <c r="D14" s="196"/>
      <c r="E14" s="35"/>
      <c r="F14" s="198"/>
      <c r="G14" s="197"/>
      <c r="H14" s="197"/>
      <c r="I14" s="198"/>
      <c r="J14" s="198"/>
      <c r="K14" s="198"/>
      <c r="L14" s="198"/>
    </row>
    <row r="15" spans="2:12" s="185" customFormat="1">
      <c r="B15" s="34"/>
      <c r="C15" s="381"/>
      <c r="D15" s="196"/>
      <c r="E15" s="35"/>
      <c r="F15" s="198"/>
      <c r="G15" s="197"/>
      <c r="H15" s="197"/>
      <c r="I15" s="198"/>
      <c r="J15" s="198"/>
      <c r="K15" s="198"/>
      <c r="L15" s="198"/>
    </row>
    <row r="16" spans="2:12" s="185" customFormat="1">
      <c r="B16" s="199" t="s">
        <v>550</v>
      </c>
      <c r="C16" s="200"/>
      <c r="D16" s="201"/>
      <c r="E16" s="202"/>
      <c r="F16" s="123">
        <f>SUM(F14:F15)</f>
        <v>0</v>
      </c>
      <c r="G16" s="204"/>
      <c r="H16" s="204"/>
      <c r="I16" s="203">
        <f>SUM(I14:I15)</f>
        <v>0</v>
      </c>
      <c r="J16" s="203">
        <f>SUM(J14:J15)</f>
        <v>0</v>
      </c>
      <c r="K16" s="203">
        <f>SUM(K14:K15)</f>
        <v>0</v>
      </c>
      <c r="L16" s="203">
        <f>SUM(L14:L15)</f>
        <v>0</v>
      </c>
    </row>
    <row r="17" spans="2:25" s="185" customFormat="1">
      <c r="B17" s="199" t="s">
        <v>551</v>
      </c>
      <c r="C17" s="200"/>
      <c r="D17" s="201"/>
      <c r="E17" s="202"/>
      <c r="F17" s="123"/>
      <c r="G17" s="204"/>
      <c r="H17" s="204"/>
      <c r="I17" s="123"/>
      <c r="J17" s="123"/>
      <c r="K17" s="123"/>
      <c r="L17" s="123"/>
    </row>
    <row r="18" spans="2:25" s="185" customFormat="1">
      <c r="B18" s="34"/>
      <c r="C18" s="381"/>
      <c r="D18" s="196"/>
      <c r="E18" s="35"/>
      <c r="F18" s="198"/>
      <c r="G18" s="197"/>
      <c r="H18" s="197"/>
      <c r="I18" s="198"/>
      <c r="J18" s="198"/>
      <c r="K18" s="198"/>
      <c r="L18" s="198"/>
    </row>
    <row r="19" spans="2:25" s="185" customFormat="1">
      <c r="B19" s="34"/>
      <c r="C19" s="381"/>
      <c r="D19" s="196"/>
      <c r="E19" s="35"/>
      <c r="F19" s="198"/>
      <c r="G19" s="197"/>
      <c r="H19" s="197"/>
      <c r="I19" s="198"/>
      <c r="J19" s="198"/>
      <c r="K19" s="198"/>
      <c r="L19" s="198"/>
    </row>
    <row r="20" spans="2:25" s="185" customFormat="1">
      <c r="B20" s="36" t="s">
        <v>552</v>
      </c>
      <c r="C20" s="205"/>
      <c r="D20" s="206"/>
      <c r="E20" s="45"/>
      <c r="F20" s="203">
        <f>SUM(F18:F19)</f>
        <v>0</v>
      </c>
      <c r="G20" s="548"/>
      <c r="H20" s="204"/>
      <c r="I20" s="203">
        <f>SUM(I18:I19)</f>
        <v>0</v>
      </c>
      <c r="J20" s="203">
        <f>SUM(J18:J19)</f>
        <v>0</v>
      </c>
      <c r="K20" s="203">
        <f>SUM(K18:K19)</f>
        <v>0</v>
      </c>
      <c r="L20" s="203">
        <f>SUM(L18:L19)</f>
        <v>0</v>
      </c>
    </row>
    <row r="21" spans="2:25" s="185" customFormat="1">
      <c r="B21" s="207" t="s">
        <v>454</v>
      </c>
      <c r="C21" s="546"/>
      <c r="D21" s="549"/>
      <c r="E21" s="550"/>
      <c r="F21" s="208">
        <f>SUM(F12+F16+F20)</f>
        <v>0</v>
      </c>
      <c r="G21" s="547"/>
      <c r="H21" s="549"/>
      <c r="I21" s="208">
        <f>SUM(I12+I16+I20)</f>
        <v>0</v>
      </c>
      <c r="J21" s="208">
        <f>SUM(J12+J16+J20)</f>
        <v>0</v>
      </c>
      <c r="K21" s="208">
        <f>SUM(K12+K16+K20)</f>
        <v>0</v>
      </c>
      <c r="L21" s="208">
        <f>SUM(L12+L16+L20)</f>
        <v>0</v>
      </c>
    </row>
    <row r="22" spans="2:25" s="185" customFormat="1">
      <c r="B22" s="18"/>
      <c r="C22" s="18"/>
      <c r="D22" s="69"/>
      <c r="E22" s="69"/>
      <c r="F22" s="69"/>
      <c r="G22" s="69"/>
      <c r="H22" s="69"/>
      <c r="I22" s="69"/>
      <c r="J22" s="69"/>
      <c r="K22" s="69"/>
      <c r="L22" s="69"/>
      <c r="M22" s="95"/>
      <c r="N22" s="95"/>
      <c r="O22" s="95"/>
      <c r="P22" s="95"/>
      <c r="Q22" s="95"/>
      <c r="R22" s="95"/>
      <c r="S22" s="95"/>
      <c r="T22" s="95"/>
      <c r="U22" s="95"/>
      <c r="V22" s="95"/>
      <c r="W22" s="95"/>
      <c r="X22" s="95"/>
      <c r="Y22" s="95"/>
    </row>
    <row r="23" spans="2:25" s="211" customFormat="1">
      <c r="B23" s="679" t="s">
        <v>448</v>
      </c>
      <c r="C23" s="644"/>
      <c r="D23" s="644"/>
      <c r="E23" s="644"/>
      <c r="F23" s="644"/>
      <c r="G23" s="644"/>
      <c r="H23" s="644"/>
      <c r="I23" s="644"/>
      <c r="J23" s="209"/>
      <c r="K23" s="209"/>
      <c r="L23" s="210"/>
    </row>
    <row r="24" spans="2:25" s="211" customFormat="1">
      <c r="B24" s="69"/>
      <c r="C24" s="106"/>
      <c r="D24" s="106"/>
      <c r="E24" s="106"/>
      <c r="F24" s="106"/>
      <c r="G24" s="106"/>
      <c r="H24" s="106"/>
      <c r="I24" s="106"/>
      <c r="J24" s="100"/>
      <c r="K24" s="100"/>
      <c r="L24" s="210"/>
    </row>
    <row r="25" spans="2:25" s="211" customFormat="1">
      <c r="B25" s="212"/>
      <c r="C25" s="212"/>
      <c r="D25" s="102" t="s">
        <v>435</v>
      </c>
      <c r="E25" s="212"/>
      <c r="F25" s="102" t="s">
        <v>381</v>
      </c>
      <c r="G25" s="212"/>
      <c r="H25" s="212"/>
      <c r="I25" s="212"/>
      <c r="J25" s="213"/>
      <c r="K25" s="214"/>
      <c r="L25" s="210"/>
    </row>
    <row r="26" spans="2:25" s="211" customFormat="1">
      <c r="B26" s="215"/>
      <c r="C26" s="105"/>
      <c r="D26" s="105" t="s">
        <v>430</v>
      </c>
      <c r="E26" s="105" t="s">
        <v>436</v>
      </c>
      <c r="F26" s="105" t="s">
        <v>399</v>
      </c>
      <c r="G26" s="105" t="s">
        <v>437</v>
      </c>
      <c r="H26" s="105" t="s">
        <v>438</v>
      </c>
      <c r="I26" s="105" t="s">
        <v>438</v>
      </c>
      <c r="J26" s="210"/>
      <c r="K26" s="210"/>
      <c r="L26" s="210"/>
    </row>
    <row r="27" spans="2:25" s="211" customFormat="1">
      <c r="B27" s="105" t="s">
        <v>268</v>
      </c>
      <c r="C27" s="105" t="s">
        <v>439</v>
      </c>
      <c r="D27" s="105" t="s">
        <v>440</v>
      </c>
      <c r="E27" s="105" t="s">
        <v>431</v>
      </c>
      <c r="F27" s="105" t="s">
        <v>441</v>
      </c>
      <c r="G27" s="105" t="s">
        <v>480</v>
      </c>
      <c r="H27" s="105" t="s">
        <v>442</v>
      </c>
      <c r="I27" s="105" t="s">
        <v>442</v>
      </c>
      <c r="J27" s="210"/>
      <c r="K27" s="210"/>
      <c r="L27" s="210"/>
    </row>
    <row r="28" spans="2:25" s="211" customFormat="1">
      <c r="B28" s="114" t="s">
        <v>269</v>
      </c>
      <c r="C28" s="114" t="s">
        <v>428</v>
      </c>
      <c r="D28" s="216" t="s">
        <v>443</v>
      </c>
      <c r="E28" s="114" t="s">
        <v>411</v>
      </c>
      <c r="F28" s="216" t="s">
        <v>501</v>
      </c>
      <c r="G28" s="191" t="str">
        <f>F8</f>
        <v>Jan 1,2013</v>
      </c>
      <c r="H28" s="114">
        <f>L1-1</f>
        <v>2013</v>
      </c>
      <c r="I28" s="114">
        <f>L1</f>
        <v>2014</v>
      </c>
      <c r="J28" s="210"/>
      <c r="K28" s="210"/>
      <c r="L28" s="210"/>
    </row>
    <row r="29" spans="2:25" s="211" customFormat="1">
      <c r="B29" s="34"/>
      <c r="C29" s="381"/>
      <c r="D29" s="217"/>
      <c r="E29" s="196"/>
      <c r="F29" s="35"/>
      <c r="G29" s="35"/>
      <c r="H29" s="35"/>
      <c r="I29" s="35"/>
      <c r="J29" s="210"/>
      <c r="K29" s="210"/>
      <c r="L29" s="210"/>
    </row>
    <row r="30" spans="2:25" s="211" customFormat="1">
      <c r="B30" s="34"/>
      <c r="C30" s="381"/>
      <c r="D30" s="217"/>
      <c r="E30" s="196"/>
      <c r="F30" s="35"/>
      <c r="G30" s="35"/>
      <c r="H30" s="35"/>
      <c r="I30" s="35"/>
      <c r="J30" s="210"/>
      <c r="K30" s="210"/>
      <c r="L30" s="210"/>
    </row>
    <row r="31" spans="2:25" s="211" customFormat="1">
      <c r="B31" s="34"/>
      <c r="C31" s="381"/>
      <c r="D31" s="217"/>
      <c r="E31" s="196"/>
      <c r="F31" s="35"/>
      <c r="G31" s="35"/>
      <c r="H31" s="35"/>
      <c r="I31" s="35"/>
      <c r="J31" s="210"/>
      <c r="K31" s="210"/>
      <c r="L31" s="210"/>
    </row>
    <row r="32" spans="2:25" s="211" customFormat="1">
      <c r="B32" s="34"/>
      <c r="C32" s="381"/>
      <c r="D32" s="217"/>
      <c r="E32" s="196"/>
      <c r="F32" s="35"/>
      <c r="G32" s="35"/>
      <c r="H32" s="35"/>
      <c r="I32" s="35"/>
      <c r="J32" s="210"/>
      <c r="K32" s="210"/>
      <c r="L32" s="210"/>
    </row>
    <row r="33" spans="2:12" s="211" customFormat="1">
      <c r="B33" s="34"/>
      <c r="C33" s="381"/>
      <c r="D33" s="217"/>
      <c r="E33" s="196"/>
      <c r="F33" s="35"/>
      <c r="G33" s="35"/>
      <c r="H33" s="35"/>
      <c r="I33" s="35"/>
      <c r="J33" s="210"/>
      <c r="K33" s="210"/>
      <c r="L33" s="210"/>
    </row>
    <row r="34" spans="2:12" s="211" customFormat="1">
      <c r="B34" s="34"/>
      <c r="C34" s="381"/>
      <c r="D34" s="217"/>
      <c r="E34" s="196"/>
      <c r="F34" s="35"/>
      <c r="G34" s="35"/>
      <c r="H34" s="35"/>
      <c r="I34" s="35"/>
      <c r="J34" s="210"/>
      <c r="K34" s="210"/>
      <c r="L34" s="210"/>
    </row>
    <row r="35" spans="2:12" s="211" customFormat="1">
      <c r="B35" s="34"/>
      <c r="C35" s="381"/>
      <c r="D35" s="217"/>
      <c r="E35" s="196"/>
      <c r="F35" s="35"/>
      <c r="G35" s="35"/>
      <c r="H35" s="35"/>
      <c r="I35" s="35"/>
      <c r="J35" s="210"/>
      <c r="K35" s="210"/>
      <c r="L35" s="210"/>
    </row>
    <row r="36" spans="2:12" s="211" customFormat="1">
      <c r="B36" s="34"/>
      <c r="C36" s="381"/>
      <c r="D36" s="217"/>
      <c r="E36" s="196"/>
      <c r="F36" s="35"/>
      <c r="G36" s="35"/>
      <c r="H36" s="35"/>
      <c r="I36" s="35"/>
      <c r="J36" s="210"/>
      <c r="K36" s="210"/>
      <c r="L36" s="210"/>
    </row>
    <row r="37" spans="2:12" s="211" customFormat="1">
      <c r="B37" s="34"/>
      <c r="C37" s="381"/>
      <c r="D37" s="217"/>
      <c r="E37" s="196"/>
      <c r="F37" s="35"/>
      <c r="G37" s="35"/>
      <c r="H37" s="35"/>
      <c r="I37" s="35"/>
      <c r="J37" s="210"/>
      <c r="K37" s="210"/>
      <c r="L37" s="210"/>
    </row>
    <row r="38" spans="2:12" s="211" customFormat="1">
      <c r="B38" s="34"/>
      <c r="C38" s="381"/>
      <c r="D38" s="217"/>
      <c r="E38" s="196"/>
      <c r="F38" s="35"/>
      <c r="G38" s="35"/>
      <c r="H38" s="35"/>
      <c r="I38" s="35"/>
      <c r="J38" s="210"/>
      <c r="K38" s="210"/>
      <c r="L38" s="210"/>
    </row>
    <row r="39" spans="2:12" s="211" customFormat="1">
      <c r="B39" s="34"/>
      <c r="C39" s="381"/>
      <c r="D39" s="217"/>
      <c r="E39" s="196"/>
      <c r="F39" s="35"/>
      <c r="G39" s="35"/>
      <c r="H39" s="35"/>
      <c r="I39" s="35"/>
      <c r="J39" s="210"/>
      <c r="K39" s="210"/>
      <c r="L39" s="210"/>
    </row>
    <row r="40" spans="2:12" s="211" customFormat="1">
      <c r="B40" s="34"/>
      <c r="C40" s="381"/>
      <c r="D40" s="217"/>
      <c r="E40" s="196"/>
      <c r="F40" s="35"/>
      <c r="G40" s="35"/>
      <c r="H40" s="35"/>
      <c r="I40" s="35"/>
      <c r="J40" s="210"/>
      <c r="K40" s="210"/>
      <c r="L40" s="210"/>
    </row>
    <row r="41" spans="2:12" s="185" customFormat="1">
      <c r="B41" s="551"/>
      <c r="C41" s="218"/>
      <c r="D41" s="218"/>
      <c r="E41" s="552" t="s">
        <v>454</v>
      </c>
      <c r="F41" s="219">
        <f>SUM(F29:F40)</f>
        <v>0</v>
      </c>
      <c r="G41" s="220">
        <f>SUM(G29:G40)</f>
        <v>0</v>
      </c>
      <c r="H41" s="220">
        <f>SUM(H29:H40)</f>
        <v>0</v>
      </c>
      <c r="I41" s="220">
        <f>SUM(I29:I40)</f>
        <v>0</v>
      </c>
      <c r="J41" s="186"/>
      <c r="K41" s="186"/>
      <c r="L41" s="77"/>
    </row>
    <row r="42" spans="2:12">
      <c r="B42" s="52"/>
      <c r="C42" s="52"/>
      <c r="D42" s="52"/>
      <c r="E42" s="52"/>
      <c r="F42" s="52"/>
      <c r="G42" s="52"/>
      <c r="H42" s="52"/>
      <c r="I42" s="52"/>
      <c r="J42" s="18"/>
      <c r="K42" s="18"/>
      <c r="L42" s="18"/>
    </row>
    <row r="43" spans="2:12">
      <c r="B43" s="221" t="s">
        <v>598</v>
      </c>
      <c r="C43" s="181"/>
      <c r="D43" s="181"/>
      <c r="E43" s="181"/>
      <c r="F43" s="181"/>
      <c r="G43" s="181"/>
      <c r="H43" s="181"/>
      <c r="I43" s="52"/>
      <c r="J43" s="18"/>
      <c r="K43" s="18"/>
      <c r="L43" s="18"/>
    </row>
  </sheetData>
  <sheetProtection sheet="1"/>
  <mergeCells count="1">
    <mergeCell ref="B23:I23"/>
  </mergeCells>
  <phoneticPr fontId="0" type="noConversion"/>
  <pageMargins left="0.41" right="0.5" top="1" bottom="0.5" header="0.5" footer="0.25"/>
  <pageSetup scale="79" orientation="landscape" blackAndWhite="1" horizontalDpi="120" verticalDpi="144" r:id="rId1"/>
  <headerFooter alignWithMargins="0">
    <oddHeader xml:space="preserve">&amp;RState of Kansas
Special District
</oddHeader>
    <oddFooter>&amp;CPage No. 5</oddFooter>
  </headerFooter>
</worksheet>
</file>

<file path=xl/worksheets/sheet11.xml><?xml version="1.0" encoding="utf-8"?>
<worksheet xmlns="http://schemas.openxmlformats.org/spreadsheetml/2006/main" xmlns:r="http://schemas.openxmlformats.org/officeDocument/2006/relationships">
  <sheetPr>
    <pageSetUpPr fitToPage="1"/>
  </sheetPr>
  <dimension ref="B1:K82"/>
  <sheetViews>
    <sheetView topLeftCell="A38" workbookViewId="0">
      <selection activeCell="P49" sqref="P49"/>
    </sheetView>
  </sheetViews>
  <sheetFormatPr defaultRowHeight="15.75"/>
  <cols>
    <col min="1" max="1" width="2.44140625" style="95" customWidth="1"/>
    <col min="2" max="2" width="31.109375" style="95" customWidth="1"/>
    <col min="3" max="5" width="15.77734375" style="95" customWidth="1"/>
    <col min="6" max="6" width="7.44140625" style="95" customWidth="1"/>
    <col min="7" max="7" width="10.21875" style="95" customWidth="1"/>
    <col min="8" max="8" width="8.88671875" style="95"/>
    <col min="9" max="9" width="5" style="95" customWidth="1"/>
    <col min="10" max="10" width="10" style="95" customWidth="1"/>
    <col min="11" max="16384" width="8.88671875" style="95"/>
  </cols>
  <sheetData>
    <row r="1" spans="2:6">
      <c r="B1" s="18" t="str">
        <f ca="1">inputPrYr!D3</f>
        <v>Crowm Hill Cemetery</v>
      </c>
      <c r="C1" s="222"/>
      <c r="D1" s="18"/>
      <c r="E1" s="182"/>
    </row>
    <row r="2" spans="2:6">
      <c r="B2" s="18" t="str">
        <f ca="1">inputPrYr!D4</f>
        <v xml:space="preserve">Comanche County </v>
      </c>
      <c r="C2" s="222"/>
      <c r="D2" s="18"/>
      <c r="E2" s="138"/>
    </row>
    <row r="3" spans="2:6">
      <c r="B3" s="490" t="s">
        <v>449</v>
      </c>
      <c r="C3" s="222"/>
      <c r="D3" s="18"/>
      <c r="E3" s="182">
        <f ca="1">inputPrYr!$D$6</f>
        <v>2014</v>
      </c>
      <c r="F3" s="567"/>
    </row>
    <row r="4" spans="2:6">
      <c r="B4" s="18"/>
      <c r="C4" s="100"/>
      <c r="D4" s="100"/>
      <c r="E4" s="100"/>
    </row>
    <row r="5" spans="2:6">
      <c r="B5" s="17" t="s">
        <v>400</v>
      </c>
      <c r="C5" s="370" t="s">
        <v>616</v>
      </c>
      <c r="D5" s="371" t="s">
        <v>615</v>
      </c>
      <c r="E5" s="223" t="s">
        <v>612</v>
      </c>
    </row>
    <row r="6" spans="2:6">
      <c r="B6" s="388" t="str">
        <f ca="1">inputPrYr!B19</f>
        <v>General</v>
      </c>
      <c r="C6" s="372" t="str">
        <f>CONCATENATE("Actual for ",E3-2,"")</f>
        <v>Actual for 2012</v>
      </c>
      <c r="D6" s="372" t="str">
        <f>CONCATENATE("Estimate for ",E3-1,"")</f>
        <v>Estimate for 2013</v>
      </c>
      <c r="E6" s="224" t="str">
        <f>CONCATENATE("Year for ",E3,"")</f>
        <v>Year for 2014</v>
      </c>
    </row>
    <row r="7" spans="2:6">
      <c r="B7" s="119" t="s">
        <v>493</v>
      </c>
      <c r="C7" s="366">
        <v>20219.650000000001</v>
      </c>
      <c r="D7" s="373">
        <f>C62</f>
        <v>12241.740000000005</v>
      </c>
      <c r="E7" s="45">
        <f>D62</f>
        <v>5518.7400000000052</v>
      </c>
    </row>
    <row r="8" spans="2:6">
      <c r="B8" s="226" t="s">
        <v>495</v>
      </c>
      <c r="C8" s="227"/>
      <c r="D8" s="227"/>
      <c r="E8" s="123"/>
    </row>
    <row r="9" spans="2:6">
      <c r="B9" s="119" t="s">
        <v>401</v>
      </c>
      <c r="C9" s="366">
        <v>26472.77</v>
      </c>
      <c r="D9" s="373">
        <f ca="1">IF(inputPrYr!H18&gt;0,inputPrYr!G19,inputPrYr!E19)</f>
        <v>36193</v>
      </c>
      <c r="E9" s="128" t="s">
        <v>396</v>
      </c>
    </row>
    <row r="10" spans="2:6">
      <c r="B10" s="119" t="s">
        <v>402</v>
      </c>
      <c r="C10" s="366"/>
      <c r="D10" s="366"/>
      <c r="E10" s="198"/>
    </row>
    <row r="11" spans="2:6">
      <c r="B11" s="119" t="s">
        <v>403</v>
      </c>
      <c r="C11" s="366"/>
      <c r="D11" s="366">
        <v>1235</v>
      </c>
      <c r="E11" s="45">
        <f ca="1">mvalloc!D11</f>
        <v>1246.01</v>
      </c>
    </row>
    <row r="12" spans="2:6">
      <c r="B12" s="119" t="s">
        <v>404</v>
      </c>
      <c r="C12" s="366"/>
      <c r="D12" s="366">
        <v>26</v>
      </c>
      <c r="E12" s="45">
        <f ca="1">mvalloc!E11</f>
        <v>17.399999999999999</v>
      </c>
    </row>
    <row r="13" spans="2:6">
      <c r="B13" s="227" t="s">
        <v>477</v>
      </c>
      <c r="C13" s="366"/>
      <c r="D13" s="366">
        <v>285</v>
      </c>
      <c r="E13" s="45">
        <f ca="1">mvalloc!F11</f>
        <v>354.36</v>
      </c>
    </row>
    <row r="14" spans="2:6">
      <c r="B14" s="227" t="s">
        <v>527</v>
      </c>
      <c r="C14" s="366"/>
      <c r="D14" s="366"/>
      <c r="E14" s="45">
        <f ca="1">inputOth!E30</f>
        <v>0</v>
      </c>
    </row>
    <row r="15" spans="2:6">
      <c r="B15" s="228" t="s">
        <v>405</v>
      </c>
      <c r="C15" s="366"/>
      <c r="D15" s="366"/>
      <c r="E15" s="198"/>
    </row>
    <row r="16" spans="2:6">
      <c r="B16" s="228" t="s">
        <v>341</v>
      </c>
      <c r="C16" s="366">
        <v>450</v>
      </c>
      <c r="D16" s="366">
        <v>500</v>
      </c>
      <c r="E16" s="198">
        <v>500</v>
      </c>
    </row>
    <row r="17" spans="2:5">
      <c r="B17" s="228" t="s">
        <v>342</v>
      </c>
      <c r="C17" s="366">
        <v>4150</v>
      </c>
      <c r="D17" s="366">
        <v>2500</v>
      </c>
      <c r="E17" s="198">
        <v>2500</v>
      </c>
    </row>
    <row r="18" spans="2:5">
      <c r="B18" s="228" t="s">
        <v>343</v>
      </c>
      <c r="C18" s="366">
        <v>85</v>
      </c>
      <c r="D18" s="366"/>
      <c r="E18" s="198"/>
    </row>
    <row r="19" spans="2:5">
      <c r="B19" s="228" t="s">
        <v>344</v>
      </c>
      <c r="C19" s="366">
        <v>645</v>
      </c>
      <c r="D19" s="366"/>
      <c r="E19" s="198"/>
    </row>
    <row r="20" spans="2:5">
      <c r="B20" s="228" t="s">
        <v>345</v>
      </c>
      <c r="C20" s="366">
        <v>58.07</v>
      </c>
      <c r="D20" s="366"/>
      <c r="E20" s="198"/>
    </row>
    <row r="21" spans="2:5">
      <c r="B21" s="228" t="s">
        <v>358</v>
      </c>
      <c r="C21" s="366"/>
      <c r="D21" s="366">
        <v>100</v>
      </c>
      <c r="E21" s="198">
        <v>100</v>
      </c>
    </row>
    <row r="22" spans="2:5">
      <c r="B22" s="228"/>
      <c r="C22" s="366"/>
      <c r="D22" s="366"/>
      <c r="E22" s="198"/>
    </row>
    <row r="23" spans="2:5">
      <c r="B23" s="228"/>
      <c r="C23" s="366"/>
      <c r="D23" s="366"/>
      <c r="E23" s="198"/>
    </row>
    <row r="24" spans="2:5">
      <c r="B24" s="228"/>
      <c r="C24" s="366"/>
      <c r="D24" s="366"/>
      <c r="E24" s="198"/>
    </row>
    <row r="25" spans="2:5">
      <c r="B25" s="228"/>
      <c r="C25" s="366"/>
      <c r="D25" s="366"/>
      <c r="E25" s="198"/>
    </row>
    <row r="26" spans="2:5">
      <c r="B26" s="228"/>
      <c r="C26" s="366"/>
      <c r="D26" s="366"/>
      <c r="E26" s="198"/>
    </row>
    <row r="27" spans="2:5">
      <c r="B27" s="228"/>
      <c r="C27" s="366"/>
      <c r="D27" s="366"/>
      <c r="E27" s="198"/>
    </row>
    <row r="28" spans="2:5">
      <c r="B28" s="228"/>
      <c r="C28" s="366"/>
      <c r="D28" s="366"/>
      <c r="E28" s="198"/>
    </row>
    <row r="29" spans="2:5">
      <c r="B29" s="229"/>
      <c r="C29" s="366"/>
      <c r="D29" s="366"/>
      <c r="E29" s="198"/>
    </row>
    <row r="30" spans="2:5">
      <c r="B30" s="229" t="s">
        <v>406</v>
      </c>
      <c r="C30" s="366"/>
      <c r="D30" s="366"/>
      <c r="E30" s="198"/>
    </row>
    <row r="31" spans="2:5">
      <c r="B31" s="230" t="s">
        <v>586</v>
      </c>
      <c r="C31" s="228"/>
      <c r="D31" s="228"/>
      <c r="E31" s="198"/>
    </row>
    <row r="32" spans="2:5">
      <c r="B32" s="230" t="s">
        <v>104</v>
      </c>
      <c r="C32" s="367" t="str">
        <f>IF(C33*0.1&lt;C31,"Exceed 10% Rule","")</f>
        <v/>
      </c>
      <c r="D32" s="367" t="str">
        <f>IF(D33*0.1&lt;D31,"Exceed 10% Rule","")</f>
        <v/>
      </c>
      <c r="E32" s="386" t="str">
        <f>IF(E33*0.1+E68&lt;E31,"Exceed 10% Rule","")</f>
        <v/>
      </c>
    </row>
    <row r="33" spans="2:5">
      <c r="B33" s="233" t="s">
        <v>407</v>
      </c>
      <c r="C33" s="368">
        <f>SUM(C9:C31)</f>
        <v>31860.84</v>
      </c>
      <c r="D33" s="368">
        <f>SUM(D9:D31)</f>
        <v>40839</v>
      </c>
      <c r="E33" s="234">
        <f>SUM(E9:E31)</f>
        <v>4717.7700000000004</v>
      </c>
    </row>
    <row r="34" spans="2:5">
      <c r="B34" s="233" t="s">
        <v>408</v>
      </c>
      <c r="C34" s="368">
        <f>C7+C33</f>
        <v>52080.490000000005</v>
      </c>
      <c r="D34" s="368">
        <f>D7+D33</f>
        <v>53080.740000000005</v>
      </c>
      <c r="E34" s="234">
        <f>E7+E33</f>
        <v>10236.510000000006</v>
      </c>
    </row>
    <row r="35" spans="2:5">
      <c r="B35" s="119" t="s">
        <v>409</v>
      </c>
      <c r="C35" s="121"/>
      <c r="D35" s="121"/>
      <c r="E35" s="36"/>
    </row>
    <row r="36" spans="2:5">
      <c r="B36" s="228" t="s">
        <v>346</v>
      </c>
      <c r="C36" s="366">
        <v>5580.38</v>
      </c>
      <c r="D36" s="366"/>
      <c r="E36" s="198"/>
    </row>
    <row r="37" spans="2:5">
      <c r="B37" s="228" t="s">
        <v>347</v>
      </c>
      <c r="C37" s="366">
        <v>20529.12</v>
      </c>
      <c r="D37" s="366"/>
      <c r="E37" s="198"/>
    </row>
    <row r="38" spans="2:5">
      <c r="B38" s="228" t="s">
        <v>348</v>
      </c>
      <c r="C38" s="366">
        <v>386.13</v>
      </c>
      <c r="D38" s="366"/>
      <c r="E38" s="198"/>
    </row>
    <row r="39" spans="2:5">
      <c r="B39" s="228" t="s">
        <v>349</v>
      </c>
      <c r="C39" s="366">
        <v>11092.12</v>
      </c>
      <c r="D39" s="366">
        <v>6000</v>
      </c>
      <c r="E39" s="198">
        <v>6000</v>
      </c>
    </row>
    <row r="40" spans="2:5">
      <c r="B40" s="228" t="s">
        <v>350</v>
      </c>
      <c r="C40" s="366">
        <v>2251</v>
      </c>
      <c r="D40" s="366"/>
      <c r="E40" s="198"/>
    </row>
    <row r="41" spans="2:5">
      <c r="B41" s="228" t="s">
        <v>352</v>
      </c>
      <c r="C41" s="366"/>
      <c r="D41" s="366">
        <v>19160</v>
      </c>
      <c r="E41" s="198">
        <v>19160</v>
      </c>
    </row>
    <row r="42" spans="2:5">
      <c r="B42" s="228" t="s">
        <v>353</v>
      </c>
      <c r="C42" s="366"/>
      <c r="D42" s="366">
        <v>3012</v>
      </c>
      <c r="E42" s="198">
        <v>3012</v>
      </c>
    </row>
    <row r="43" spans="2:5">
      <c r="B43" s="228" t="s">
        <v>586</v>
      </c>
      <c r="C43" s="366"/>
      <c r="D43" s="366">
        <v>12750</v>
      </c>
      <c r="E43" s="198">
        <v>12750</v>
      </c>
    </row>
    <row r="44" spans="2:5">
      <c r="B44" s="228" t="s">
        <v>354</v>
      </c>
      <c r="C44" s="366"/>
      <c r="D44" s="366">
        <v>2500</v>
      </c>
      <c r="E44" s="198">
        <v>2500</v>
      </c>
    </row>
    <row r="45" spans="2:5">
      <c r="B45" s="228" t="s">
        <v>355</v>
      </c>
      <c r="C45" s="366"/>
      <c r="D45" s="366">
        <v>2020</v>
      </c>
      <c r="E45" s="198">
        <v>2020</v>
      </c>
    </row>
    <row r="46" spans="2:5">
      <c r="B46" s="228" t="s">
        <v>356</v>
      </c>
      <c r="C46" s="366"/>
      <c r="D46" s="366">
        <v>1500</v>
      </c>
      <c r="E46" s="198">
        <v>1500</v>
      </c>
    </row>
    <row r="47" spans="2:5">
      <c r="B47" s="228" t="s">
        <v>357</v>
      </c>
      <c r="C47" s="366"/>
      <c r="D47" s="366">
        <v>620</v>
      </c>
      <c r="E47" s="198">
        <v>620</v>
      </c>
    </row>
    <row r="48" spans="2:5">
      <c r="B48" s="228"/>
      <c r="C48" s="366"/>
      <c r="D48" s="366"/>
      <c r="E48" s="198"/>
    </row>
    <row r="49" spans="2:11">
      <c r="B49" s="228"/>
      <c r="C49" s="366"/>
      <c r="D49" s="366"/>
      <c r="E49" s="198"/>
    </row>
    <row r="50" spans="2:11">
      <c r="B50" s="228"/>
      <c r="C50" s="366"/>
      <c r="D50" s="366"/>
      <c r="E50" s="198"/>
    </row>
    <row r="51" spans="2:11">
      <c r="B51" s="228"/>
      <c r="C51" s="366"/>
      <c r="D51" s="366"/>
      <c r="E51" s="198"/>
    </row>
    <row r="52" spans="2:11">
      <c r="B52" s="228"/>
      <c r="C52" s="366"/>
      <c r="D52" s="366"/>
      <c r="E52" s="198"/>
      <c r="F52" s="16"/>
      <c r="G52" s="680" t="str">
        <f>CONCATENATE("Desired Carryover Into ",E3+1,"")</f>
        <v>Desired Carryover Into 2015</v>
      </c>
      <c r="H52" s="681"/>
      <c r="I52" s="681"/>
      <c r="J52" s="682"/>
      <c r="K52" s="16"/>
    </row>
    <row r="53" spans="2:11">
      <c r="B53" s="228"/>
      <c r="C53" s="366"/>
      <c r="D53" s="366"/>
      <c r="E53" s="198"/>
      <c r="F53" s="16"/>
      <c r="G53" s="475"/>
      <c r="H53" s="69"/>
      <c r="I53" s="482"/>
      <c r="J53" s="474"/>
      <c r="K53" s="16"/>
    </row>
    <row r="54" spans="2:11">
      <c r="B54" s="228"/>
      <c r="C54" s="366"/>
      <c r="D54" s="366"/>
      <c r="E54" s="198"/>
      <c r="F54" s="16"/>
      <c r="G54" s="473" t="s">
        <v>206</v>
      </c>
      <c r="H54" s="482"/>
      <c r="I54" s="482"/>
      <c r="J54" s="472">
        <v>0</v>
      </c>
      <c r="K54" s="16"/>
    </row>
    <row r="55" spans="2:11">
      <c r="B55" s="228"/>
      <c r="C55" s="366"/>
      <c r="D55" s="366"/>
      <c r="E55" s="198"/>
      <c r="F55" s="16"/>
      <c r="G55" s="475" t="s">
        <v>207</v>
      </c>
      <c r="H55" s="69"/>
      <c r="I55" s="69"/>
      <c r="J55" s="578" t="str">
        <f ca="1">IF(J54=0,"",ROUND((J54+E68-G67)/inputOth!E7*1000,3)-G72)</f>
        <v/>
      </c>
      <c r="K55" s="16"/>
    </row>
    <row r="56" spans="2:11">
      <c r="B56" s="228"/>
      <c r="C56" s="366"/>
      <c r="D56" s="366"/>
      <c r="E56" s="198"/>
      <c r="F56" s="16"/>
      <c r="G56" s="579" t="str">
        <f>CONCATENATE("",E3," Tot Exp/Non-Appr Must Be:")</f>
        <v>2014 Tot Exp/Non-Appr Must Be:</v>
      </c>
      <c r="H56" s="569"/>
      <c r="I56" s="568"/>
      <c r="J56" s="580">
        <f>IF(J54&gt;0,IF(E65&lt;E34,IF(J54=G67,E65,((J54-G67)*(1-D67))+E34),E65+(J54-G67)),0)</f>
        <v>0</v>
      </c>
      <c r="K56" s="16"/>
    </row>
    <row r="57" spans="2:11">
      <c r="B57" s="228"/>
      <c r="C57" s="366"/>
      <c r="D57" s="366"/>
      <c r="E57" s="198"/>
      <c r="F57" s="16"/>
      <c r="G57" s="581" t="s">
        <v>273</v>
      </c>
      <c r="H57" s="582"/>
      <c r="I57" s="582"/>
      <c r="J57" s="583">
        <f>IF(J54&gt;0,J56-E65,0)</f>
        <v>0</v>
      </c>
      <c r="K57" s="16"/>
    </row>
    <row r="58" spans="2:11">
      <c r="B58" s="121" t="s">
        <v>587</v>
      </c>
      <c r="C58" s="366"/>
      <c r="D58" s="366"/>
      <c r="E58" s="203" t="str">
        <f ca="1">Nhood!E7</f>
        <v/>
      </c>
      <c r="F58" s="16"/>
      <c r="G58" s="16"/>
      <c r="H58" s="16"/>
      <c r="I58" s="16"/>
      <c r="J58" s="16"/>
      <c r="K58" s="16"/>
    </row>
    <row r="59" spans="2:11">
      <c r="B59" s="121" t="s">
        <v>586</v>
      </c>
      <c r="C59" s="366"/>
      <c r="D59" s="366"/>
      <c r="E59" s="35"/>
      <c r="F59" s="16"/>
      <c r="G59" s="680" t="str">
        <f>CONCATENATE("Projected Carryover Into ",E3+1,"")</f>
        <v>Projected Carryover Into 2015</v>
      </c>
      <c r="H59" s="681"/>
      <c r="I59" s="681"/>
      <c r="J59" s="682"/>
      <c r="K59" s="16"/>
    </row>
    <row r="60" spans="2:11">
      <c r="B60" s="121" t="s">
        <v>103</v>
      </c>
      <c r="C60" s="367" t="str">
        <f>IF(C61*0.1&lt;C59,"Exceed 10% Rule","")</f>
        <v/>
      </c>
      <c r="D60" s="367" t="str">
        <f>IF(D61*0.1&lt;D59,"Exceed 10% Rule","")</f>
        <v/>
      </c>
      <c r="E60" s="386" t="str">
        <f>IF(E61*0.1&lt;E59,"Exceed 10% Rule","")</f>
        <v/>
      </c>
      <c r="F60" s="16"/>
      <c r="G60" s="494"/>
      <c r="H60" s="69"/>
      <c r="I60" s="69"/>
      <c r="J60" s="483"/>
      <c r="K60" s="16"/>
    </row>
    <row r="61" spans="2:11">
      <c r="B61" s="233" t="s">
        <v>410</v>
      </c>
      <c r="C61" s="368">
        <f>SUM(C36:C59)</f>
        <v>39838.75</v>
      </c>
      <c r="D61" s="368">
        <f>SUM(D36:D59)</f>
        <v>47562</v>
      </c>
      <c r="E61" s="234">
        <f>SUM(E36:E59)</f>
        <v>47562</v>
      </c>
      <c r="F61" s="16"/>
      <c r="G61" s="489">
        <f>D62</f>
        <v>5518.7400000000052</v>
      </c>
      <c r="H61" s="488" t="str">
        <f>CONCATENATE("",E3-1," Ending Cash Balance (est.)")</f>
        <v>2013 Ending Cash Balance (est.)</v>
      </c>
      <c r="I61" s="584"/>
      <c r="J61" s="483"/>
      <c r="K61" s="16"/>
    </row>
    <row r="62" spans="2:11">
      <c r="B62" s="119" t="s">
        <v>494</v>
      </c>
      <c r="C62" s="369">
        <f>C34-C61</f>
        <v>12241.740000000005</v>
      </c>
      <c r="D62" s="369">
        <f>D34-D61</f>
        <v>5518.7400000000052</v>
      </c>
      <c r="E62" s="128" t="s">
        <v>396</v>
      </c>
      <c r="F62" s="16"/>
      <c r="G62" s="489">
        <f>E33</f>
        <v>4717.7700000000004</v>
      </c>
      <c r="H62" s="482" t="str">
        <f>CONCATENATE("",E3," Non-AV Receipts (est.)")</f>
        <v>2014 Non-AV Receipts (est.)</v>
      </c>
      <c r="I62" s="584"/>
      <c r="J62" s="483"/>
      <c r="K62" s="16"/>
    </row>
    <row r="63" spans="2:11">
      <c r="B63" s="138" t="str">
        <f>CONCATENATE("",E3-2,"/",E3-1," Budget Authority Amount:")</f>
        <v>2012/2013 Budget Authority Amount:</v>
      </c>
      <c r="C63" s="120">
        <f ca="1">inputOth!B41</f>
        <v>45482</v>
      </c>
      <c r="D63" s="387">
        <f ca="1">inputPrYr!D19</f>
        <v>48473</v>
      </c>
      <c r="E63" s="128" t="s">
        <v>396</v>
      </c>
      <c r="F63" s="251"/>
      <c r="G63" s="481">
        <f>IF(E67&gt;0,E66,E68)</f>
        <v>37325.489999999991</v>
      </c>
      <c r="H63" s="482" t="str">
        <f>CONCATENATE("",E3," Ad Valorem Tax (est.)")</f>
        <v>2014 Ad Valorem Tax (est.)</v>
      </c>
      <c r="I63" s="482"/>
      <c r="J63" s="483"/>
      <c r="K63" s="585" t="str">
        <f>IF(G63=E68,"","Note: Does not include Delinquent Taxes")</f>
        <v/>
      </c>
    </row>
    <row r="64" spans="2:11">
      <c r="B64" s="138"/>
      <c r="C64" s="688" t="s">
        <v>200</v>
      </c>
      <c r="D64" s="689"/>
      <c r="E64" s="35"/>
      <c r="F64" s="586" t="str">
        <f>IF(E61/0.95-E61&lt;E64,"Exceeds 5%","")</f>
        <v/>
      </c>
      <c r="G64" s="489">
        <f>SUM(G61:G63)</f>
        <v>47562</v>
      </c>
      <c r="H64" s="482" t="str">
        <f>CONCATENATE("Total ",E3," Resources Available")</f>
        <v>Total 2014 Resources Available</v>
      </c>
      <c r="I64" s="584"/>
      <c r="J64" s="483"/>
      <c r="K64" s="16"/>
    </row>
    <row r="65" spans="2:11">
      <c r="B65" s="385" t="str">
        <f>CONCATENATE(C81,"     ",D81)</f>
        <v xml:space="preserve">     </v>
      </c>
      <c r="C65" s="690" t="s">
        <v>201</v>
      </c>
      <c r="D65" s="691"/>
      <c r="E65" s="45">
        <f>E61+E64</f>
        <v>47562</v>
      </c>
      <c r="F65" s="16"/>
      <c r="G65" s="480"/>
      <c r="H65" s="482"/>
      <c r="I65" s="482"/>
      <c r="J65" s="483"/>
      <c r="K65" s="16"/>
    </row>
    <row r="66" spans="2:11">
      <c r="B66" s="385" t="str">
        <f>CONCATENATE(C82,"     ",D82)</f>
        <v xml:space="preserve">     </v>
      </c>
      <c r="C66" s="493"/>
      <c r="D66" s="492" t="s">
        <v>202</v>
      </c>
      <c r="E66" s="42">
        <f>IF(E65-E34&gt;0,E65-E34,0)</f>
        <v>37325.489999999991</v>
      </c>
      <c r="F66" s="16"/>
      <c r="G66" s="481">
        <f>ROUND(C61*0.05+C61,0)</f>
        <v>41831</v>
      </c>
      <c r="H66" s="482" t="str">
        <f>CONCATENATE("Less ",E3-2," Expenditures + 5%")</f>
        <v>Less 2012 Expenditures + 5%</v>
      </c>
      <c r="I66" s="584"/>
      <c r="J66" s="483"/>
      <c r="K66" s="16"/>
    </row>
    <row r="67" spans="2:11">
      <c r="B67" s="155"/>
      <c r="C67" s="491" t="s">
        <v>203</v>
      </c>
      <c r="D67" s="596">
        <f ca="1">inputOth!$E$35</f>
        <v>0</v>
      </c>
      <c r="E67" s="45">
        <f>ROUND(IF(D67&gt;0,(E66*D67),0),0)</f>
        <v>0</v>
      </c>
      <c r="F67" s="16"/>
      <c r="G67" s="479">
        <f>G64-G66</f>
        <v>5731</v>
      </c>
      <c r="H67" s="478" t="str">
        <f>CONCATENATE("Projected ",E3+1," Carryover (est.)")</f>
        <v>Projected 2015 Carryover (est.)</v>
      </c>
      <c r="I67" s="587"/>
      <c r="J67" s="477"/>
      <c r="K67" s="16"/>
    </row>
    <row r="68" spans="2:11">
      <c r="B68" s="18"/>
      <c r="C68" s="686" t="str">
        <f>CONCATENATE("Amount of  ",$E$3-1," Ad Valorem Tax")</f>
        <v>Amount of  2013 Ad Valorem Tax</v>
      </c>
      <c r="D68" s="687"/>
      <c r="E68" s="42">
        <f>E66+E67</f>
        <v>37325.489999999991</v>
      </c>
      <c r="F68" s="16"/>
      <c r="G68" s="16"/>
      <c r="H68" s="16"/>
      <c r="I68" s="16"/>
      <c r="J68" s="16"/>
      <c r="K68" s="16"/>
    </row>
    <row r="69" spans="2:11">
      <c r="B69" s="18"/>
      <c r="C69" s="18"/>
      <c r="D69" s="18"/>
      <c r="E69" s="18"/>
      <c r="F69" s="16"/>
      <c r="G69" s="683" t="s">
        <v>274</v>
      </c>
      <c r="H69" s="684"/>
      <c r="I69" s="684"/>
      <c r="J69" s="685"/>
      <c r="K69" s="16"/>
    </row>
    <row r="70" spans="2:11">
      <c r="B70" s="18"/>
      <c r="C70" s="18"/>
      <c r="D70" s="18"/>
      <c r="E70" s="18"/>
      <c r="F70" s="16"/>
      <c r="G70" s="588"/>
      <c r="H70" s="488"/>
      <c r="I70" s="570"/>
      <c r="J70" s="589"/>
      <c r="K70" s="16"/>
    </row>
    <row r="71" spans="2:11">
      <c r="B71" s="18"/>
      <c r="C71" s="18"/>
      <c r="D71" s="18"/>
      <c r="E71" s="18"/>
      <c r="F71" s="16"/>
      <c r="G71" s="590">
        <f ca="1">summ!H16</f>
        <v>0.82899999999999996</v>
      </c>
      <c r="H71" s="488" t="str">
        <f>CONCATENATE("",E3," Fund Mill Rate")</f>
        <v>2014 Fund Mill Rate</v>
      </c>
      <c r="I71" s="570"/>
      <c r="J71" s="589"/>
      <c r="K71" s="16"/>
    </row>
    <row r="72" spans="2:11">
      <c r="B72" s="18"/>
      <c r="C72" s="18"/>
      <c r="D72" s="18"/>
      <c r="E72" s="18"/>
      <c r="F72" s="591"/>
      <c r="G72" s="592">
        <f ca="1">summ!E16</f>
        <v>1.204</v>
      </c>
      <c r="H72" s="488" t="str">
        <f>CONCATENATE("",E3-1," Fund Mill Rate")</f>
        <v>2013 Fund Mill Rate</v>
      </c>
      <c r="I72" s="570"/>
      <c r="J72" s="589"/>
      <c r="K72" s="16"/>
    </row>
    <row r="73" spans="2:11">
      <c r="B73" s="18"/>
      <c r="C73" s="222"/>
      <c r="D73" s="222"/>
      <c r="E73" s="222"/>
      <c r="F73" s="575"/>
      <c r="G73" s="593">
        <f ca="1">summ!H23</f>
        <v>0.82899999999999996</v>
      </c>
      <c r="H73" s="488" t="str">
        <f>CONCATENATE("Total ",E3," Mill Rate")</f>
        <v>Total 2014 Mill Rate</v>
      </c>
      <c r="I73" s="570"/>
      <c r="J73" s="589"/>
      <c r="K73" s="16"/>
    </row>
    <row r="74" spans="2:11">
      <c r="B74" s="138"/>
      <c r="C74" s="18" t="s">
        <v>595</v>
      </c>
      <c r="D74" s="18"/>
      <c r="E74" s="18"/>
      <c r="F74" s="575"/>
      <c r="G74" s="592">
        <f ca="1">summ!E23</f>
        <v>1.204</v>
      </c>
      <c r="H74" s="594" t="str">
        <f>CONCATENATE("Total ",E3-1," Mill Rate")</f>
        <v>Total 2013 Mill Rate</v>
      </c>
      <c r="I74" s="595"/>
      <c r="J74" s="78"/>
      <c r="K74" s="16"/>
    </row>
    <row r="76" spans="2:11">
      <c r="B76" s="61"/>
      <c r="G76" s="631" t="s">
        <v>72</v>
      </c>
      <c r="H76" s="630"/>
      <c r="I76" s="629" t="str">
        <f ca="1">cert!F31</f>
        <v>Yes</v>
      </c>
    </row>
    <row r="81" spans="3:4" hidden="1">
      <c r="C81" s="95" t="str">
        <f>IF(C61&gt;C63,"See Tab A","")</f>
        <v/>
      </c>
      <c r="D81" s="95" t="str">
        <f>IF(D61&gt;D63,"See Tab C","")</f>
        <v/>
      </c>
    </row>
    <row r="82" spans="3:4" hidden="1">
      <c r="C82" s="95" t="str">
        <f>IF(C62&lt;0,"See Tab B","")</f>
        <v/>
      </c>
      <c r="D82" s="95" t="str">
        <f>IF(D62&lt;0,"See Tab D","")</f>
        <v/>
      </c>
    </row>
  </sheetData>
  <sheetProtection sheet="1"/>
  <mergeCells count="6">
    <mergeCell ref="G52:J52"/>
    <mergeCell ref="G59:J59"/>
    <mergeCell ref="G69:J69"/>
    <mergeCell ref="C68:D68"/>
    <mergeCell ref="C64:D64"/>
    <mergeCell ref="C65:D65"/>
  </mergeCells>
  <phoneticPr fontId="0" type="noConversion"/>
  <conditionalFormatting sqref="E64">
    <cfRule type="cellIs" dxfId="61" priority="2" stopIfTrue="1" operator="greaterThan">
      <formula>$E$61/0.95-$E$61</formula>
    </cfRule>
  </conditionalFormatting>
  <conditionalFormatting sqref="C59">
    <cfRule type="cellIs" dxfId="60" priority="3" stopIfTrue="1" operator="greaterThan">
      <formula>$C$61*0.1</formula>
    </cfRule>
  </conditionalFormatting>
  <conditionalFormatting sqref="D59">
    <cfRule type="cellIs" dxfId="59" priority="4" stopIfTrue="1" operator="greaterThan">
      <formula>$D$61*0.1</formula>
    </cfRule>
  </conditionalFormatting>
  <conditionalFormatting sqref="E59">
    <cfRule type="cellIs" dxfId="58" priority="5" stopIfTrue="1" operator="greaterThan">
      <formula>$E$61*0.1</formula>
    </cfRule>
  </conditionalFormatting>
  <conditionalFormatting sqref="C31">
    <cfRule type="cellIs" dxfId="57" priority="6" stopIfTrue="1" operator="greaterThan">
      <formula>$C$33*0.1</formula>
    </cfRule>
  </conditionalFormatting>
  <conditionalFormatting sqref="D31">
    <cfRule type="cellIs" dxfId="56" priority="7" stopIfTrue="1" operator="greaterThan">
      <formula>$D$33*0.1</formula>
    </cfRule>
  </conditionalFormatting>
  <conditionalFormatting sqref="C62">
    <cfRule type="cellIs" dxfId="55" priority="8" stopIfTrue="1" operator="lessThan">
      <formula>0</formula>
    </cfRule>
  </conditionalFormatting>
  <conditionalFormatting sqref="E31">
    <cfRule type="cellIs" dxfId="54" priority="11" stopIfTrue="1" operator="greaterThan">
      <formula>$E$33*0.1+$E$68</formula>
    </cfRule>
  </conditionalFormatting>
  <conditionalFormatting sqref="D62">
    <cfRule type="cellIs" dxfId="53" priority="1" stopIfTrue="1" operator="lessThan">
      <formula>0</formula>
    </cfRule>
  </conditionalFormatting>
  <conditionalFormatting sqref="D61">
    <cfRule type="cellIs" dxfId="52" priority="20" stopIfTrue="1" operator="greaterThan">
      <formula>$D$63</formula>
    </cfRule>
  </conditionalFormatting>
  <conditionalFormatting sqref="C61">
    <cfRule type="cellIs" dxfId="51" priority="28" stopIfTrue="1" operator="greaterThan">
      <formula>$C$63</formula>
    </cfRule>
  </conditionalFormatting>
  <pageMargins left="1" right="1" top="0.5" bottom="0.5" header="0.5" footer="0.5"/>
  <pageSetup scale="67" orientation="portrait" blackAndWhite="1" horizontalDpi="120" verticalDpi="144" r:id="rId1"/>
  <headerFooter alignWithMargins="0">
    <oddHeader xml:space="preserve">&amp;RState of Kansas
Special District
</oddHeader>
  </headerFooter>
</worksheet>
</file>

<file path=xl/worksheets/sheet12.xml><?xml version="1.0" encoding="utf-8"?>
<worksheet xmlns="http://schemas.openxmlformats.org/spreadsheetml/2006/main" xmlns:r="http://schemas.openxmlformats.org/officeDocument/2006/relationships">
  <sheetPr>
    <pageSetUpPr fitToPage="1"/>
  </sheetPr>
  <dimension ref="B1:K70"/>
  <sheetViews>
    <sheetView workbookViewId="0">
      <selection activeCell="L7" sqref="L7"/>
    </sheetView>
  </sheetViews>
  <sheetFormatPr defaultRowHeight="15.75"/>
  <cols>
    <col min="1" max="1" width="2.44140625" style="16" customWidth="1"/>
    <col min="2" max="2" width="31.109375" style="16" customWidth="1"/>
    <col min="3" max="5" width="15.77734375" style="16" customWidth="1"/>
    <col min="6" max="6" width="7.44140625" style="95" customWidth="1"/>
    <col min="7" max="7" width="10.21875" style="95" customWidth="1"/>
    <col min="8" max="8" width="8.88671875" style="95"/>
    <col min="9" max="9" width="5" style="95" customWidth="1"/>
    <col min="10" max="10" width="10" style="95" customWidth="1"/>
    <col min="11" max="16384" width="8.88671875" style="16"/>
  </cols>
  <sheetData>
    <row r="1" spans="2:6">
      <c r="B1" s="156" t="str">
        <f ca="1">inputPrYr!D3</f>
        <v>Crowm Hill Cemetery</v>
      </c>
      <c r="C1" s="18"/>
      <c r="D1" s="18"/>
      <c r="E1" s="236">
        <f ca="1">inputPrYr!$D$6</f>
        <v>2014</v>
      </c>
    </row>
    <row r="2" spans="2:6">
      <c r="B2" s="18"/>
      <c r="C2" s="18"/>
      <c r="D2" s="18"/>
      <c r="E2" s="155"/>
    </row>
    <row r="3" spans="2:6">
      <c r="B3" s="490" t="s">
        <v>449</v>
      </c>
      <c r="C3" s="222"/>
      <c r="D3" s="222"/>
      <c r="E3" s="237"/>
      <c r="F3" s="567"/>
    </row>
    <row r="4" spans="2:6">
      <c r="B4" s="43" t="s">
        <v>400</v>
      </c>
      <c r="C4" s="370" t="s">
        <v>614</v>
      </c>
      <c r="D4" s="371" t="s">
        <v>615</v>
      </c>
      <c r="E4" s="223" t="s">
        <v>612</v>
      </c>
    </row>
    <row r="5" spans="2:6">
      <c r="B5" s="389" t="s">
        <v>639</v>
      </c>
      <c r="C5" s="378" t="str">
        <f>CONCATENATE("Actual for ",E1-2,"")</f>
        <v>Actual for 2012</v>
      </c>
      <c r="D5" s="378" t="str">
        <f>CONCATENATE("Estimate for ",E1-1,"")</f>
        <v>Estimate for 2013</v>
      </c>
      <c r="E5" s="170" t="str">
        <f>CONCATENATE("Year for ",E1,"")</f>
        <v>Year for 2014</v>
      </c>
    </row>
    <row r="6" spans="2:6">
      <c r="B6" s="113" t="s">
        <v>493</v>
      </c>
      <c r="C6" s="375"/>
      <c r="D6" s="379">
        <f>C54</f>
        <v>0</v>
      </c>
      <c r="E6" s="239">
        <f>D54</f>
        <v>0</v>
      </c>
    </row>
    <row r="7" spans="2:6">
      <c r="B7" s="240" t="s">
        <v>495</v>
      </c>
      <c r="C7" s="377"/>
      <c r="D7" s="379"/>
      <c r="E7" s="239"/>
    </row>
    <row r="8" spans="2:6">
      <c r="B8" s="113" t="s">
        <v>401</v>
      </c>
      <c r="C8" s="366"/>
      <c r="D8" s="377">
        <f ca="1">IF(inputPrYr!H18&gt;0,inputPrYr!G20,inputPrYr!E20)</f>
        <v>0</v>
      </c>
      <c r="E8" s="241" t="s">
        <v>396</v>
      </c>
    </row>
    <row r="9" spans="2:6">
      <c r="B9" s="113" t="s">
        <v>402</v>
      </c>
      <c r="C9" s="366"/>
      <c r="D9" s="366"/>
      <c r="E9" s="242"/>
    </row>
    <row r="10" spans="2:6">
      <c r="B10" s="113" t="s">
        <v>403</v>
      </c>
      <c r="C10" s="366"/>
      <c r="D10" s="366"/>
      <c r="E10" s="243">
        <f ca="1">mvalloc!D12</f>
        <v>0</v>
      </c>
    </row>
    <row r="11" spans="2:6">
      <c r="B11" s="113" t="s">
        <v>404</v>
      </c>
      <c r="C11" s="366"/>
      <c r="D11" s="366"/>
      <c r="E11" s="243">
        <f ca="1">mvalloc!E12</f>
        <v>0</v>
      </c>
    </row>
    <row r="12" spans="2:6">
      <c r="B12" s="244" t="s">
        <v>477</v>
      </c>
      <c r="C12" s="366"/>
      <c r="D12" s="366"/>
      <c r="E12" s="243">
        <f ca="1">mvalloc!F12</f>
        <v>0</v>
      </c>
    </row>
    <row r="13" spans="2:6">
      <c r="B13" s="245"/>
      <c r="C13" s="366"/>
      <c r="D13" s="366"/>
      <c r="E13" s="242"/>
    </row>
    <row r="14" spans="2:6">
      <c r="B14" s="245"/>
      <c r="C14" s="366"/>
      <c r="D14" s="366"/>
      <c r="E14" s="242"/>
    </row>
    <row r="15" spans="2:6">
      <c r="B15" s="487"/>
      <c r="C15" s="366"/>
      <c r="D15" s="366"/>
      <c r="E15" s="246"/>
    </row>
    <row r="16" spans="2:6">
      <c r="B16" s="245"/>
      <c r="C16" s="366"/>
      <c r="D16" s="366"/>
      <c r="E16" s="242"/>
    </row>
    <row r="17" spans="2:5">
      <c r="B17" s="245"/>
      <c r="C17" s="366"/>
      <c r="D17" s="366"/>
      <c r="E17" s="246"/>
    </row>
    <row r="18" spans="2:5">
      <c r="B18" s="245"/>
      <c r="C18" s="366"/>
      <c r="D18" s="366"/>
      <c r="E18" s="242"/>
    </row>
    <row r="19" spans="2:5">
      <c r="B19" s="245"/>
      <c r="C19" s="366"/>
      <c r="D19" s="366"/>
      <c r="E19" s="242"/>
    </row>
    <row r="20" spans="2:5">
      <c r="B20" s="245"/>
      <c r="C20" s="366"/>
      <c r="D20" s="366"/>
      <c r="E20" s="242"/>
    </row>
    <row r="21" spans="2:5">
      <c r="B21" s="245"/>
      <c r="C21" s="366"/>
      <c r="D21" s="366"/>
      <c r="E21" s="242"/>
    </row>
    <row r="22" spans="2:5">
      <c r="B22" s="245"/>
      <c r="C22" s="366"/>
      <c r="D22" s="366"/>
      <c r="E22" s="242"/>
    </row>
    <row r="23" spans="2:5">
      <c r="B23" s="245"/>
      <c r="C23" s="366"/>
      <c r="D23" s="366"/>
      <c r="E23" s="242"/>
    </row>
    <row r="24" spans="2:5">
      <c r="B24" s="245"/>
      <c r="C24" s="366"/>
      <c r="D24" s="366"/>
      <c r="E24" s="242"/>
    </row>
    <row r="25" spans="2:5">
      <c r="B25" s="245" t="s">
        <v>526</v>
      </c>
      <c r="C25" s="366"/>
      <c r="D25" s="366"/>
      <c r="E25" s="242"/>
    </row>
    <row r="26" spans="2:5">
      <c r="B26" s="247" t="s">
        <v>406</v>
      </c>
      <c r="C26" s="366"/>
      <c r="D26" s="366"/>
      <c r="E26" s="242"/>
    </row>
    <row r="27" spans="2:5">
      <c r="B27" s="230" t="s">
        <v>586</v>
      </c>
      <c r="C27" s="375"/>
      <c r="D27" s="375"/>
      <c r="E27" s="242"/>
    </row>
    <row r="28" spans="2:5">
      <c r="B28" s="230" t="s">
        <v>104</v>
      </c>
      <c r="C28" s="367" t="str">
        <f>IF(C29*0.1&lt;C27,"Exceed 10% Rule","")</f>
        <v/>
      </c>
      <c r="D28" s="367" t="str">
        <f>IF(D29*0.1&lt;D27,"Exceed 10% Rule","")</f>
        <v/>
      </c>
      <c r="E28" s="386" t="str">
        <f>IF(E29*0.1+E60&lt;E27,"Exceed 10% Rule","")</f>
        <v/>
      </c>
    </row>
    <row r="29" spans="2:5">
      <c r="B29" s="233" t="s">
        <v>407</v>
      </c>
      <c r="C29" s="376">
        <f>SUM(C8:C27)</f>
        <v>0</v>
      </c>
      <c r="D29" s="376">
        <f>SUM(D8:D27)</f>
        <v>0</v>
      </c>
      <c r="E29" s="248">
        <f>SUM(E8:E27)</f>
        <v>0</v>
      </c>
    </row>
    <row r="30" spans="2:5">
      <c r="B30" s="233" t="s">
        <v>408</v>
      </c>
      <c r="C30" s="376">
        <f>C6+C29</f>
        <v>0</v>
      </c>
      <c r="D30" s="376">
        <f>D6+D29</f>
        <v>0</v>
      </c>
      <c r="E30" s="249">
        <f>E6+E29</f>
        <v>0</v>
      </c>
    </row>
    <row r="31" spans="2:5">
      <c r="B31" s="240" t="s">
        <v>409</v>
      </c>
      <c r="C31" s="377"/>
      <c r="D31" s="377"/>
      <c r="E31" s="243"/>
    </row>
    <row r="32" spans="2:5">
      <c r="B32" s="250"/>
      <c r="C32" s="366"/>
      <c r="D32" s="366"/>
      <c r="E32" s="242"/>
    </row>
    <row r="33" spans="2:11">
      <c r="B33" s="250"/>
      <c r="C33" s="366"/>
      <c r="D33" s="366"/>
      <c r="E33" s="242"/>
    </row>
    <row r="34" spans="2:11">
      <c r="B34" s="250"/>
      <c r="C34" s="366"/>
      <c r="D34" s="366"/>
      <c r="E34" s="242"/>
    </row>
    <row r="35" spans="2:11">
      <c r="B35" s="250"/>
      <c r="C35" s="366"/>
      <c r="D35" s="366"/>
      <c r="E35" s="242"/>
    </row>
    <row r="36" spans="2:11">
      <c r="B36" s="250"/>
      <c r="C36" s="366"/>
      <c r="D36" s="366"/>
      <c r="E36" s="242"/>
    </row>
    <row r="37" spans="2:11">
      <c r="B37" s="250"/>
      <c r="C37" s="366"/>
      <c r="D37" s="366"/>
      <c r="E37" s="242"/>
    </row>
    <row r="38" spans="2:11">
      <c r="B38" s="250"/>
      <c r="C38" s="366"/>
      <c r="D38" s="366"/>
      <c r="E38" s="242"/>
    </row>
    <row r="39" spans="2:11">
      <c r="B39" s="250"/>
      <c r="C39" s="366"/>
      <c r="D39" s="366"/>
      <c r="E39" s="242"/>
    </row>
    <row r="40" spans="2:11">
      <c r="B40" s="250"/>
      <c r="C40" s="366"/>
      <c r="D40" s="366"/>
      <c r="E40" s="242"/>
    </row>
    <row r="41" spans="2:11">
      <c r="B41" s="250"/>
      <c r="C41" s="366"/>
      <c r="D41" s="366"/>
      <c r="E41" s="242"/>
    </row>
    <row r="42" spans="2:11">
      <c r="B42" s="250"/>
      <c r="C42" s="366"/>
      <c r="D42" s="366"/>
      <c r="E42" s="242"/>
    </row>
    <row r="43" spans="2:11">
      <c r="B43" s="250"/>
      <c r="C43" s="366"/>
      <c r="D43" s="366"/>
      <c r="E43" s="242"/>
    </row>
    <row r="44" spans="2:11">
      <c r="B44" s="250"/>
      <c r="C44" s="366"/>
      <c r="D44" s="366"/>
      <c r="E44" s="242"/>
      <c r="F44" s="597"/>
      <c r="G44" s="680" t="str">
        <f>CONCATENATE("Desired Carryover Into ",E1+1,"")</f>
        <v>Desired Carryover Into 2015</v>
      </c>
      <c r="H44" s="681"/>
      <c r="I44" s="681"/>
      <c r="J44" s="682"/>
      <c r="K44" s="597"/>
    </row>
    <row r="45" spans="2:11">
      <c r="B45" s="250"/>
      <c r="C45" s="366"/>
      <c r="D45" s="366"/>
      <c r="E45" s="242"/>
      <c r="F45" s="597"/>
      <c r="G45" s="475"/>
      <c r="H45" s="69"/>
      <c r="I45" s="482"/>
      <c r="J45" s="474"/>
      <c r="K45" s="597"/>
    </row>
    <row r="46" spans="2:11">
      <c r="B46" s="250"/>
      <c r="C46" s="366"/>
      <c r="D46" s="366"/>
      <c r="E46" s="242"/>
      <c r="F46" s="597"/>
      <c r="G46" s="473" t="s">
        <v>206</v>
      </c>
      <c r="H46" s="482"/>
      <c r="I46" s="482"/>
      <c r="J46" s="472">
        <v>0</v>
      </c>
      <c r="K46" s="597"/>
    </row>
    <row r="47" spans="2:11">
      <c r="B47" s="250"/>
      <c r="C47" s="366"/>
      <c r="D47" s="366"/>
      <c r="E47" s="242"/>
      <c r="F47" s="597"/>
      <c r="G47" s="475" t="s">
        <v>207</v>
      </c>
      <c r="H47" s="69"/>
      <c r="I47" s="69"/>
      <c r="J47" s="598" t="str">
        <f ca="1">IF(J46=0,"",ROUND((J46+E60-G59)/inputOth!E7*1000,3)-G64)</f>
        <v/>
      </c>
      <c r="K47" s="597"/>
    </row>
    <row r="48" spans="2:11">
      <c r="B48" s="250"/>
      <c r="C48" s="366"/>
      <c r="D48" s="366"/>
      <c r="E48" s="242"/>
      <c r="F48" s="597"/>
      <c r="G48" s="579" t="str">
        <f>CONCATENATE("",E1," Tot Exp/Non-Appr Must Be:")</f>
        <v>2014 Tot Exp/Non-Appr Must Be:</v>
      </c>
      <c r="H48" s="569"/>
      <c r="I48" s="568"/>
      <c r="J48" s="580">
        <f>IF(J46&gt;0,IF(E57&lt;E30,IF(J46=G59,E57,((J46-G59)*(1-D59))+E30),E57+(J46-G59)),0)</f>
        <v>0</v>
      </c>
      <c r="K48" s="597"/>
    </row>
    <row r="49" spans="2:11">
      <c r="B49" s="250"/>
      <c r="C49" s="366"/>
      <c r="D49" s="366"/>
      <c r="E49" s="242"/>
      <c r="F49" s="597"/>
      <c r="G49" s="581" t="s">
        <v>273</v>
      </c>
      <c r="H49" s="582"/>
      <c r="I49" s="582"/>
      <c r="J49" s="583">
        <f>IF(J46&gt;0,J48-E57,0)</f>
        <v>0</v>
      </c>
      <c r="K49" s="597"/>
    </row>
    <row r="50" spans="2:11">
      <c r="B50" s="121" t="s">
        <v>587</v>
      </c>
      <c r="C50" s="375"/>
      <c r="D50" s="375"/>
      <c r="E50" s="176" t="str">
        <f ca="1">Nhood!E8</f>
        <v/>
      </c>
      <c r="F50" s="597"/>
      <c r="G50" s="597"/>
      <c r="H50" s="597"/>
      <c r="I50" s="597"/>
      <c r="J50" s="597"/>
      <c r="K50" s="597"/>
    </row>
    <row r="51" spans="2:11">
      <c r="B51" s="121" t="s">
        <v>586</v>
      </c>
      <c r="C51" s="375"/>
      <c r="D51" s="375"/>
      <c r="E51" s="242"/>
      <c r="F51" s="597"/>
      <c r="G51" s="680" t="str">
        <f>CONCATENATE("Projected Carryover Into ",E1+1,"")</f>
        <v>Projected Carryover Into 2015</v>
      </c>
      <c r="H51" s="692"/>
      <c r="I51" s="692"/>
      <c r="J51" s="693"/>
      <c r="K51" s="597"/>
    </row>
    <row r="52" spans="2:11">
      <c r="B52" s="121" t="s">
        <v>103</v>
      </c>
      <c r="C52" s="367" t="str">
        <f>IF(C53*0.1&lt;C51,"Exceed 10% Rule","")</f>
        <v/>
      </c>
      <c r="D52" s="367" t="str">
        <f>IF(D53*0.1&lt;D51,"Exceed 10% Rule","")</f>
        <v/>
      </c>
      <c r="E52" s="386" t="str">
        <f>IF(E53*0.1&lt;E51,"Exceed 10% Rule","")</f>
        <v/>
      </c>
      <c r="F52" s="597"/>
      <c r="G52" s="475"/>
      <c r="H52" s="482"/>
      <c r="I52" s="482"/>
      <c r="J52" s="599"/>
      <c r="K52" s="597"/>
    </row>
    <row r="53" spans="2:11">
      <c r="B53" s="233" t="s">
        <v>410</v>
      </c>
      <c r="C53" s="376">
        <f>SUM(C32:C51)</f>
        <v>0</v>
      </c>
      <c r="D53" s="376">
        <f>SUM(D32:D51)</f>
        <v>0</v>
      </c>
      <c r="E53" s="248">
        <f>SUM(E32:E51)</f>
        <v>0</v>
      </c>
      <c r="F53" s="597"/>
      <c r="G53" s="489">
        <f>D54</f>
        <v>0</v>
      </c>
      <c r="H53" s="488" t="str">
        <f>CONCATENATE("",E1-1," Ending Cash Balance (est.)")</f>
        <v>2013 Ending Cash Balance (est.)</v>
      </c>
      <c r="I53" s="584"/>
      <c r="J53" s="599"/>
      <c r="K53" s="597"/>
    </row>
    <row r="54" spans="2:11">
      <c r="B54" s="113" t="s">
        <v>494</v>
      </c>
      <c r="C54" s="374">
        <f>C30-C53</f>
        <v>0</v>
      </c>
      <c r="D54" s="374">
        <f>D30-D53</f>
        <v>0</v>
      </c>
      <c r="E54" s="241" t="s">
        <v>396</v>
      </c>
      <c r="F54"/>
      <c r="G54" s="489">
        <f>E29</f>
        <v>0</v>
      </c>
      <c r="H54" s="482" t="str">
        <f>CONCATENATE("",E1," Non-AV Receipts (est.)")</f>
        <v>2014 Non-AV Receipts (est.)</v>
      </c>
      <c r="I54" s="584"/>
      <c r="J54" s="599"/>
      <c r="K54" s="597"/>
    </row>
    <row r="55" spans="2:11">
      <c r="B55" s="138" t="str">
        <f>CONCATENATE("",E1-2,"/",E1-1," Budget Authority Amount:")</f>
        <v>2012/2013 Budget Authority Amount:</v>
      </c>
      <c r="C55" s="120">
        <f ca="1">inputOth!B42</f>
        <v>0</v>
      </c>
      <c r="D55" s="387">
        <f ca="1">inputPrYr!D20</f>
        <v>0</v>
      </c>
      <c r="E55" s="241" t="s">
        <v>396</v>
      </c>
      <c r="F55" s="251"/>
      <c r="G55" s="481">
        <f>IF(E59&gt;0,E58,E60)</f>
        <v>0</v>
      </c>
      <c r="H55" s="482" t="str">
        <f>CONCATENATE("",E1," Ad Valorem Tax (est.)")</f>
        <v>2014 Ad Valorem Tax (est.)</v>
      </c>
      <c r="I55" s="584"/>
      <c r="J55" s="599"/>
      <c r="K55" s="585" t="str">
        <f>IF(G55=E60,"","Note: Does not include Delinquent Taxes")</f>
        <v/>
      </c>
    </row>
    <row r="56" spans="2:11">
      <c r="B56" s="138"/>
      <c r="C56" s="688" t="s">
        <v>200</v>
      </c>
      <c r="D56" s="689"/>
      <c r="E56" s="35"/>
      <c r="F56" s="600" t="str">
        <f>IF(E53/0.95-E53&lt;E56,"Exceeds 5%","")</f>
        <v/>
      </c>
      <c r="G56" s="489">
        <f>SUM(G53:G55)</f>
        <v>0</v>
      </c>
      <c r="H56" s="482" t="str">
        <f>CONCATENATE("Total ",E1," Resources Available")</f>
        <v>Total 2014 Resources Available</v>
      </c>
      <c r="I56" s="584"/>
      <c r="J56" s="599"/>
      <c r="K56" s="597"/>
    </row>
    <row r="57" spans="2:11">
      <c r="B57" s="385" t="str">
        <f>CONCATENATE(C68,"     ",D68)</f>
        <v xml:space="preserve">     </v>
      </c>
      <c r="C57" s="690" t="s">
        <v>201</v>
      </c>
      <c r="D57" s="691"/>
      <c r="E57" s="45">
        <f>E53+E56</f>
        <v>0</v>
      </c>
      <c r="F57"/>
      <c r="G57" s="480"/>
      <c r="H57" s="482"/>
      <c r="I57" s="482"/>
      <c r="J57" s="599"/>
      <c r="K57" s="597"/>
    </row>
    <row r="58" spans="2:11">
      <c r="B58" s="385" t="str">
        <f>CONCATENATE(C69,"     ",D69)</f>
        <v xml:space="preserve">     </v>
      </c>
      <c r="C58" s="493"/>
      <c r="D58" s="492" t="s">
        <v>202</v>
      </c>
      <c r="E58" s="42">
        <f>IF(E57-E30&gt;0,E57-E30,0)</f>
        <v>0</v>
      </c>
      <c r="F58"/>
      <c r="G58" s="481">
        <f>C53</f>
        <v>0</v>
      </c>
      <c r="H58" s="482" t="str">
        <f>CONCATENATE("Less ",E1-2," Expenditures")</f>
        <v>Less 2012 Expenditures</v>
      </c>
      <c r="I58" s="482"/>
      <c r="J58" s="599"/>
      <c r="K58" s="597"/>
    </row>
    <row r="59" spans="2:11">
      <c r="B59" s="155"/>
      <c r="C59" s="491" t="s">
        <v>203</v>
      </c>
      <c r="D59" s="596">
        <f ca="1">inputOth!$E$35</f>
        <v>0</v>
      </c>
      <c r="E59" s="45">
        <f>ROUND(IF(D59&gt;0,(E58*D59),0),0)</f>
        <v>0</v>
      </c>
      <c r="F59"/>
      <c r="G59" s="517">
        <f>G56-G58</f>
        <v>0</v>
      </c>
      <c r="H59" s="470" t="str">
        <f>CONCATENATE("Projected ",E1+1," carryover (est.)")</f>
        <v>Projected 2015 carryover (est.)</v>
      </c>
      <c r="I59" s="587"/>
      <c r="J59" s="601"/>
      <c r="K59" s="597"/>
    </row>
    <row r="60" spans="2:11">
      <c r="B60" s="18"/>
      <c r="C60" s="686" t="str">
        <f>CONCATENATE("Amount of  ",$E$1-1," Ad Valorem Tax")</f>
        <v>Amount of  2013 Ad Valorem Tax</v>
      </c>
      <c r="D60" s="687"/>
      <c r="E60" s="42">
        <f>E58+E59</f>
        <v>0</v>
      </c>
      <c r="F60"/>
      <c r="G60" s="597"/>
      <c r="H60" s="597"/>
      <c r="I60" s="597"/>
      <c r="J60" s="597"/>
      <c r="K60" s="597"/>
    </row>
    <row r="61" spans="2:11">
      <c r="B61" s="155"/>
      <c r="C61" s="18"/>
      <c r="D61" s="18"/>
      <c r="E61" s="18"/>
      <c r="F61"/>
      <c r="G61" s="683" t="s">
        <v>274</v>
      </c>
      <c r="H61" s="684"/>
      <c r="I61" s="684"/>
      <c r="J61" s="685"/>
      <c r="K61" s="597"/>
    </row>
    <row r="62" spans="2:11">
      <c r="B62" s="138" t="s">
        <v>412</v>
      </c>
      <c r="C62" s="252"/>
      <c r="D62" s="18"/>
      <c r="E62" s="18"/>
      <c r="F62"/>
      <c r="G62" s="588"/>
      <c r="H62" s="488"/>
      <c r="I62" s="570"/>
      <c r="J62" s="589"/>
      <c r="K62" s="597"/>
    </row>
    <row r="63" spans="2:11">
      <c r="F63"/>
      <c r="G63" s="590" t="str">
        <f ca="1">summ!H17</f>
        <v xml:space="preserve"> </v>
      </c>
      <c r="H63" s="488" t="str">
        <f>CONCATENATE("",E1," Fund Mill Rate")</f>
        <v>2014 Fund Mill Rate</v>
      </c>
      <c r="I63" s="570"/>
      <c r="J63" s="589"/>
      <c r="K63" s="597"/>
    </row>
    <row r="64" spans="2:11">
      <c r="F64"/>
      <c r="G64" s="592" t="str">
        <f ca="1">summ!E17</f>
        <v xml:space="preserve">  </v>
      </c>
      <c r="H64" s="488" t="str">
        <f>CONCATENATE("",E1-1," Fund Mill Rate")</f>
        <v>2013 Fund Mill Rate</v>
      </c>
      <c r="I64" s="570"/>
      <c r="J64" s="589"/>
      <c r="K64" s="597"/>
    </row>
    <row r="65" spans="3:11">
      <c r="F65"/>
      <c r="G65" s="593">
        <f ca="1">summ!H23</f>
        <v>0.82899999999999996</v>
      </c>
      <c r="H65" s="488" t="str">
        <f>CONCATENATE("Total ",E1," Mill Rate")</f>
        <v>Total 2014 Mill Rate</v>
      </c>
      <c r="I65" s="570"/>
      <c r="J65" s="589"/>
      <c r="K65" s="597"/>
    </row>
    <row r="66" spans="3:11">
      <c r="F66"/>
      <c r="G66" s="592">
        <f ca="1">summ!E23</f>
        <v>1.204</v>
      </c>
      <c r="H66" s="594" t="str">
        <f>CONCATENATE("Total ",E1-1," Mill Rate")</f>
        <v>Total 2013 Mill Rate</v>
      </c>
      <c r="I66" s="595"/>
      <c r="J66" s="78"/>
      <c r="K66" s="597"/>
    </row>
    <row r="67" spans="3:11">
      <c r="G67" s="573"/>
      <c r="H67" s="476"/>
      <c r="I67" s="573"/>
      <c r="J67" s="571"/>
    </row>
    <row r="68" spans="3:11" ht="15.75" hidden="1" customHeight="1">
      <c r="C68" s="16" t="str">
        <f>IF(C53&gt;C55,"See Tab A","")</f>
        <v/>
      </c>
      <c r="D68" s="16" t="str">
        <f>IF(D53&gt;D55,"See Tab C","")</f>
        <v/>
      </c>
      <c r="G68" s="572"/>
      <c r="H68" s="573"/>
      <c r="I68" s="573"/>
      <c r="J68" s="576"/>
    </row>
    <row r="69" spans="3:11" ht="15.75" hidden="1" customHeight="1">
      <c r="C69" s="16" t="str">
        <f>IF(C54&lt;0,"See Tab B","")</f>
        <v/>
      </c>
      <c r="D69" s="16" t="str">
        <f>IF(D54&lt;0,"See Tab D","")</f>
        <v/>
      </c>
      <c r="G69" s="573"/>
      <c r="H69" s="476"/>
      <c r="I69" s="476"/>
      <c r="J69" s="577"/>
    </row>
    <row r="70" spans="3:11">
      <c r="G70" s="631" t="s">
        <v>72</v>
      </c>
      <c r="H70" s="630"/>
      <c r="I70" s="629" t="str">
        <f ca="1">cert!F31</f>
        <v>Yes</v>
      </c>
      <c r="J70" s="574"/>
    </row>
  </sheetData>
  <sheetProtection sheet="1"/>
  <mergeCells count="6">
    <mergeCell ref="G44:J44"/>
    <mergeCell ref="G51:J51"/>
    <mergeCell ref="G61:J61"/>
    <mergeCell ref="C60:D60"/>
    <mergeCell ref="C56:D56"/>
    <mergeCell ref="C57:D57"/>
  </mergeCells>
  <phoneticPr fontId="15" type="noConversion"/>
  <conditionalFormatting sqref="C51">
    <cfRule type="cellIs" dxfId="50" priority="2" stopIfTrue="1" operator="greaterThan">
      <formula>$C$53*0.1</formula>
    </cfRule>
  </conditionalFormatting>
  <conditionalFormatting sqref="D51">
    <cfRule type="cellIs" dxfId="49" priority="3" stopIfTrue="1" operator="greaterThan">
      <formula>$D$53*0.1</formula>
    </cfRule>
  </conditionalFormatting>
  <conditionalFormatting sqref="E51">
    <cfRule type="cellIs" dxfId="48" priority="4" stopIfTrue="1" operator="greaterThan">
      <formula>$E$53*0.1</formula>
    </cfRule>
  </conditionalFormatting>
  <conditionalFormatting sqref="E56">
    <cfRule type="cellIs" dxfId="47" priority="5" stopIfTrue="1" operator="greaterThan">
      <formula>$E$53/0.95-$E$53</formula>
    </cfRule>
  </conditionalFormatting>
  <conditionalFormatting sqref="C27">
    <cfRule type="cellIs" dxfId="46" priority="6" stopIfTrue="1" operator="greaterThan">
      <formula>$C$29*0.1</formula>
    </cfRule>
  </conditionalFormatting>
  <conditionalFormatting sqref="D27">
    <cfRule type="cellIs" dxfId="45" priority="7" stopIfTrue="1" operator="greaterThan">
      <formula>$D$29*0.1</formula>
    </cfRule>
  </conditionalFormatting>
  <conditionalFormatting sqref="C54">
    <cfRule type="cellIs" dxfId="44" priority="8" stopIfTrue="1" operator="lessThan">
      <formula>0</formula>
    </cfRule>
  </conditionalFormatting>
  <conditionalFormatting sqref="E27">
    <cfRule type="cellIs" dxfId="43" priority="11" stopIfTrue="1" operator="greaterThan">
      <formula>$E$29*0.1+$E$60</formula>
    </cfRule>
  </conditionalFormatting>
  <conditionalFormatting sqref="D54">
    <cfRule type="cellIs" dxfId="42" priority="1" stopIfTrue="1" operator="lessThan">
      <formula>0</formula>
    </cfRule>
  </conditionalFormatting>
  <conditionalFormatting sqref="D53">
    <cfRule type="cellIs" dxfId="41" priority="20" stopIfTrue="1" operator="greaterThan">
      <formula>$D$55</formula>
    </cfRule>
  </conditionalFormatting>
  <conditionalFormatting sqref="C53">
    <cfRule type="cellIs" dxfId="40" priority="28" stopIfTrue="1" operator="greaterThan">
      <formula>$C$55</formula>
    </cfRule>
  </conditionalFormatting>
  <pageMargins left="0.75" right="0.75" top="1" bottom="1" header="0.5" footer="0.5"/>
  <pageSetup scale="72" orientation="portrait" blackAndWhite="1" r:id="rId1"/>
  <headerFooter alignWithMargins="0">
    <oddHeader>&amp;RState of Kansas
Special District</oddHeader>
  </headerFooter>
</worksheet>
</file>

<file path=xl/worksheets/sheet13.xml><?xml version="1.0" encoding="utf-8"?>
<worksheet xmlns="http://schemas.openxmlformats.org/spreadsheetml/2006/main" xmlns:r="http://schemas.openxmlformats.org/officeDocument/2006/relationships">
  <sheetPr>
    <pageSetUpPr fitToPage="1"/>
  </sheetPr>
  <dimension ref="B1:K91"/>
  <sheetViews>
    <sheetView workbookViewId="0">
      <selection activeCell="L6" sqref="L6"/>
    </sheetView>
  </sheetViews>
  <sheetFormatPr defaultRowHeight="15.75"/>
  <cols>
    <col min="1" max="1" width="2.44140625" style="95" customWidth="1"/>
    <col min="2" max="2" width="31.109375" style="95" customWidth="1"/>
    <col min="3" max="5" width="15.77734375" style="95" customWidth="1"/>
    <col min="6" max="6" width="7.44140625" style="95" customWidth="1"/>
    <col min="7" max="7" width="10.21875" style="95" customWidth="1"/>
    <col min="8" max="8" width="8.88671875" style="95"/>
    <col min="9" max="9" width="5" style="95" customWidth="1"/>
    <col min="10" max="10" width="10" style="95" customWidth="1"/>
    <col min="11" max="16384" width="8.88671875" style="95"/>
  </cols>
  <sheetData>
    <row r="1" spans="2:6">
      <c r="B1" s="18" t="str">
        <f ca="1">inputPrYr!D3</f>
        <v>Crowm Hill Cemetery</v>
      </c>
      <c r="C1" s="18"/>
      <c r="D1" s="18"/>
      <c r="E1" s="182"/>
    </row>
    <row r="2" spans="2:6">
      <c r="B2" s="18" t="str">
        <f ca="1">inputPrYr!D4</f>
        <v xml:space="preserve">Comanche County </v>
      </c>
      <c r="C2" s="18"/>
      <c r="D2" s="18"/>
      <c r="E2" s="138"/>
    </row>
    <row r="3" spans="2:6">
      <c r="B3" s="25" t="s">
        <v>449</v>
      </c>
      <c r="C3" s="222"/>
      <c r="D3" s="222"/>
      <c r="E3" s="18">
        <f ca="1">inputPrYr!D6</f>
        <v>2014</v>
      </c>
      <c r="F3" s="567"/>
    </row>
    <row r="4" spans="2:6">
      <c r="B4" s="18"/>
      <c r="C4" s="106"/>
      <c r="D4" s="106"/>
      <c r="E4" s="106"/>
    </row>
    <row r="5" spans="2:6">
      <c r="B5" s="17" t="s">
        <v>400</v>
      </c>
      <c r="C5" s="370" t="s">
        <v>614</v>
      </c>
      <c r="D5" s="371" t="s">
        <v>613</v>
      </c>
      <c r="E5" s="223" t="s">
        <v>612</v>
      </c>
    </row>
    <row r="6" spans="2:6">
      <c r="B6" s="388">
        <f ca="1">inputPrYr!B22</f>
        <v>0</v>
      </c>
      <c r="C6" s="372" t="str">
        <f>CONCATENATE("Actual for ",$E$3-2,"")</f>
        <v>Actual for 2012</v>
      </c>
      <c r="D6" s="372" t="str">
        <f>CONCATENATE("Estimate for ",E3-1,"")</f>
        <v>Estimate for 2013</v>
      </c>
      <c r="E6" s="224" t="str">
        <f>CONCATENATE("Year for ",E3,"")</f>
        <v>Year for 2014</v>
      </c>
    </row>
    <row r="7" spans="2:6">
      <c r="B7" s="119" t="s">
        <v>493</v>
      </c>
      <c r="C7" s="366"/>
      <c r="D7" s="373">
        <f>C34</f>
        <v>0</v>
      </c>
      <c r="E7" s="45">
        <f>D34</f>
        <v>0</v>
      </c>
    </row>
    <row r="8" spans="2:6">
      <c r="B8" s="226" t="s">
        <v>495</v>
      </c>
      <c r="C8" s="227"/>
      <c r="D8" s="227"/>
      <c r="E8" s="123"/>
    </row>
    <row r="9" spans="2:6">
      <c r="B9" s="119" t="s">
        <v>401</v>
      </c>
      <c r="C9" s="366"/>
      <c r="D9" s="373">
        <f ca="1">IF(inputPrYr!H18&gt;0,inputPrYr!G22,inputPrYr!E22)</f>
        <v>0</v>
      </c>
      <c r="E9" s="128" t="s">
        <v>396</v>
      </c>
    </row>
    <row r="10" spans="2:6">
      <c r="B10" s="119" t="s">
        <v>402</v>
      </c>
      <c r="C10" s="366"/>
      <c r="D10" s="366"/>
      <c r="E10" s="198"/>
    </row>
    <row r="11" spans="2:6">
      <c r="B11" s="119" t="s">
        <v>403</v>
      </c>
      <c r="C11" s="366"/>
      <c r="D11" s="366"/>
      <c r="E11" s="45">
        <f ca="1">mvalloc!D13</f>
        <v>0</v>
      </c>
    </row>
    <row r="12" spans="2:6">
      <c r="B12" s="119" t="s">
        <v>404</v>
      </c>
      <c r="C12" s="366"/>
      <c r="D12" s="366"/>
      <c r="E12" s="45">
        <f ca="1">mvalloc!E13</f>
        <v>0</v>
      </c>
    </row>
    <row r="13" spans="2:6">
      <c r="B13" s="227" t="s">
        <v>477</v>
      </c>
      <c r="C13" s="366"/>
      <c r="D13" s="366"/>
      <c r="E13" s="45">
        <f ca="1">mvalloc!F13</f>
        <v>0</v>
      </c>
    </row>
    <row r="14" spans="2:6">
      <c r="B14" s="228"/>
      <c r="C14" s="366"/>
      <c r="D14" s="366"/>
      <c r="E14" s="198"/>
    </row>
    <row r="15" spans="2:6">
      <c r="B15" s="228"/>
      <c r="C15" s="366"/>
      <c r="D15" s="366"/>
      <c r="E15" s="198"/>
    </row>
    <row r="16" spans="2:6">
      <c r="B16" s="228"/>
      <c r="C16" s="366"/>
      <c r="D16" s="366"/>
      <c r="E16" s="198"/>
    </row>
    <row r="17" spans="2:11">
      <c r="B17" s="228"/>
      <c r="C17" s="366"/>
      <c r="D17" s="366"/>
      <c r="E17" s="198"/>
    </row>
    <row r="18" spans="2:11">
      <c r="B18" s="229" t="s">
        <v>406</v>
      </c>
      <c r="C18" s="366"/>
      <c r="D18" s="366"/>
      <c r="E18" s="198"/>
    </row>
    <row r="19" spans="2:11">
      <c r="B19" s="230" t="s">
        <v>586</v>
      </c>
      <c r="C19" s="366"/>
      <c r="D19" s="366"/>
      <c r="E19" s="35"/>
    </row>
    <row r="20" spans="2:11">
      <c r="B20" s="230" t="s">
        <v>104</v>
      </c>
      <c r="C20" s="367" t="str">
        <f>IF(C21*0.1&lt;C19,"Exceed 10% Rule","")</f>
        <v/>
      </c>
      <c r="D20" s="367" t="str">
        <f>IF(D21*0.1&lt;D19,"Exceed 10% Rule","")</f>
        <v/>
      </c>
      <c r="E20" s="386" t="str">
        <f>IF(E21*0.1+E40&lt;E19,"Exceed 10% Rule","")</f>
        <v/>
      </c>
    </row>
    <row r="21" spans="2:11">
      <c r="B21" s="233" t="s">
        <v>407</v>
      </c>
      <c r="C21" s="368">
        <f>SUM(C9:C19)</f>
        <v>0</v>
      </c>
      <c r="D21" s="368">
        <f>SUM(D9:D19)</f>
        <v>0</v>
      </c>
      <c r="E21" s="234">
        <f>SUM(E9:E19)</f>
        <v>0</v>
      </c>
    </row>
    <row r="22" spans="2:11">
      <c r="B22" s="233" t="s">
        <v>408</v>
      </c>
      <c r="C22" s="368">
        <f>C7+C21</f>
        <v>0</v>
      </c>
      <c r="D22" s="368">
        <f>D7+D21</f>
        <v>0</v>
      </c>
      <c r="E22" s="234">
        <f>E7+E21</f>
        <v>0</v>
      </c>
    </row>
    <row r="23" spans="2:11">
      <c r="B23" s="119" t="s">
        <v>409</v>
      </c>
      <c r="C23" s="121"/>
      <c r="D23" s="121"/>
      <c r="E23" s="36"/>
    </row>
    <row r="24" spans="2:11">
      <c r="B24" s="228"/>
      <c r="C24" s="366"/>
      <c r="D24" s="366"/>
      <c r="E24" s="198"/>
    </row>
    <row r="25" spans="2:11">
      <c r="B25" s="228"/>
      <c r="C25" s="366"/>
      <c r="D25" s="366"/>
      <c r="E25" s="198"/>
      <c r="F25" s="16"/>
      <c r="G25" s="680" t="str">
        <f>CONCATENATE("Desired Carryover Into ",E3+1,"")</f>
        <v>Desired Carryover Into 2015</v>
      </c>
      <c r="H25" s="681"/>
      <c r="I25" s="681"/>
      <c r="J25" s="682"/>
      <c r="K25" s="16"/>
    </row>
    <row r="26" spans="2:11">
      <c r="B26" s="228"/>
      <c r="C26" s="366"/>
      <c r="D26" s="366"/>
      <c r="E26" s="198"/>
      <c r="F26" s="16"/>
      <c r="G26" s="475"/>
      <c r="H26" s="69"/>
      <c r="I26" s="482"/>
      <c r="J26" s="474"/>
      <c r="K26" s="16"/>
    </row>
    <row r="27" spans="2:11">
      <c r="B27" s="228"/>
      <c r="C27" s="366"/>
      <c r="D27" s="366"/>
      <c r="E27" s="198"/>
      <c r="F27" s="16"/>
      <c r="G27" s="473" t="s">
        <v>206</v>
      </c>
      <c r="H27" s="482"/>
      <c r="I27" s="482"/>
      <c r="J27" s="472">
        <v>0</v>
      </c>
      <c r="K27" s="16"/>
    </row>
    <row r="28" spans="2:11">
      <c r="B28" s="228"/>
      <c r="C28" s="366"/>
      <c r="D28" s="366"/>
      <c r="E28" s="198"/>
      <c r="F28" s="16"/>
      <c r="G28" s="475" t="s">
        <v>207</v>
      </c>
      <c r="H28" s="69"/>
      <c r="I28" s="69"/>
      <c r="J28" s="598" t="str">
        <f ca="1">IF(J27=0,"",ROUND((J27+E40-G40)/inputOth!E7*1000,3)-G45)</f>
        <v/>
      </c>
      <c r="K28" s="16"/>
    </row>
    <row r="29" spans="2:11">
      <c r="B29" s="228"/>
      <c r="C29" s="366"/>
      <c r="D29" s="366"/>
      <c r="E29" s="198"/>
      <c r="F29" s="16"/>
      <c r="G29" s="579" t="str">
        <f>CONCATENATE("",E3," Tot Exp/Non-Appr Must Be:")</f>
        <v>2014 Tot Exp/Non-Appr Must Be:</v>
      </c>
      <c r="H29" s="569"/>
      <c r="I29" s="568"/>
      <c r="J29" s="580">
        <f>IF(J27&gt;0,IF(E37&lt;E22,IF(J27=G40,E37,((J27-G40)*(1-D39))+E22),E37+(J27-G40)),0)</f>
        <v>0</v>
      </c>
      <c r="K29" s="16"/>
    </row>
    <row r="30" spans="2:11">
      <c r="B30" s="121" t="s">
        <v>587</v>
      </c>
      <c r="C30" s="366"/>
      <c r="D30" s="366"/>
      <c r="E30" s="203" t="str">
        <f ca="1">Nhood!E9</f>
        <v/>
      </c>
      <c r="F30" s="16"/>
      <c r="G30" s="581" t="s">
        <v>273</v>
      </c>
      <c r="H30" s="582"/>
      <c r="I30" s="582"/>
      <c r="J30" s="583">
        <f>IF(J27&gt;0,J29-E37,0)</f>
        <v>0</v>
      </c>
      <c r="K30" s="16"/>
    </row>
    <row r="31" spans="2:11">
      <c r="B31" s="121" t="s">
        <v>586</v>
      </c>
      <c r="C31" s="228"/>
      <c r="D31" s="228"/>
      <c r="E31" s="198"/>
      <c r="F31" s="16"/>
      <c r="G31" s="16"/>
      <c r="H31" s="16"/>
      <c r="I31" s="16"/>
      <c r="J31" s="597"/>
      <c r="K31" s="16"/>
    </row>
    <row r="32" spans="2:11">
      <c r="B32" s="121" t="s">
        <v>103</v>
      </c>
      <c r="C32" s="367" t="str">
        <f>IF(C33*0.1&lt;C31,"Exceed 10% Rule","")</f>
        <v/>
      </c>
      <c r="D32" s="367" t="str">
        <f>IF(D33*0.1&lt;D31,"Exceed 10% Rule","")</f>
        <v/>
      </c>
      <c r="E32" s="386" t="str">
        <f>IF(E33*0.1&lt;E31,"Exceed 10% Rule","")</f>
        <v/>
      </c>
      <c r="F32" s="16"/>
      <c r="G32" s="680" t="str">
        <f>CONCATENATE("Projected Carryover Into ",E3+1,"")</f>
        <v>Projected Carryover Into 2015</v>
      </c>
      <c r="H32" s="692"/>
      <c r="I32" s="692"/>
      <c r="J32" s="693"/>
      <c r="K32" s="16"/>
    </row>
    <row r="33" spans="2:11">
      <c r="B33" s="233" t="s">
        <v>410</v>
      </c>
      <c r="C33" s="368">
        <f>SUM(C24:C31)</f>
        <v>0</v>
      </c>
      <c r="D33" s="368">
        <f>SUM(D24:D31)</f>
        <v>0</v>
      </c>
      <c r="E33" s="234">
        <f>SUM(E24:E31)</f>
        <v>0</v>
      </c>
      <c r="F33" s="16"/>
      <c r="G33" s="475"/>
      <c r="H33" s="482"/>
      <c r="I33" s="482"/>
      <c r="J33" s="602"/>
      <c r="K33" s="16"/>
    </row>
    <row r="34" spans="2:11">
      <c r="B34" s="119" t="s">
        <v>494</v>
      </c>
      <c r="C34" s="369">
        <f>C22-C33</f>
        <v>0</v>
      </c>
      <c r="D34" s="369">
        <f>D22-D33</f>
        <v>0</v>
      </c>
      <c r="E34" s="128" t="s">
        <v>396</v>
      </c>
      <c r="F34" s="16"/>
      <c r="G34" s="489">
        <f>D34</f>
        <v>0</v>
      </c>
      <c r="H34" s="488" t="str">
        <f>CONCATENATE("",E3-1," Ending Cash Balance (est.)")</f>
        <v>2013 Ending Cash Balance (est.)</v>
      </c>
      <c r="I34" s="584"/>
      <c r="J34" s="602"/>
      <c r="K34" s="16"/>
    </row>
    <row r="35" spans="2:11">
      <c r="B35" s="138" t="str">
        <f>CONCATENATE("",E3-2,"/",E3-1," Budget Authority Amount:")</f>
        <v>2012/2013 Budget Authority Amount:</v>
      </c>
      <c r="C35" s="120">
        <f ca="1">inputOth!B43</f>
        <v>0</v>
      </c>
      <c r="D35" s="387">
        <f ca="1">inputPrYr!D22</f>
        <v>0</v>
      </c>
      <c r="E35" s="128" t="s">
        <v>396</v>
      </c>
      <c r="F35" s="16"/>
      <c r="G35" s="489">
        <f>E21</f>
        <v>0</v>
      </c>
      <c r="H35" s="482" t="str">
        <f>CONCATENATE("",E3," Non-AV Receipts (est.)")</f>
        <v>2014 Non-AV Receipts (est.)</v>
      </c>
      <c r="I35" s="584"/>
      <c r="J35" s="602"/>
      <c r="K35" s="16"/>
    </row>
    <row r="36" spans="2:11">
      <c r="B36" s="138"/>
      <c r="C36" s="688" t="s">
        <v>200</v>
      </c>
      <c r="D36" s="689"/>
      <c r="E36" s="35"/>
      <c r="F36" s="610" t="str">
        <f>IF(E33/0.95-E33&lt;E36,"Exceeds 5%","")</f>
        <v/>
      </c>
      <c r="G36" s="481">
        <f>IF(E39&gt;0,E38,E40)</f>
        <v>0</v>
      </c>
      <c r="H36" s="482" t="str">
        <f>CONCATENATE("",E3," Ad Valorem Tax (est.)")</f>
        <v>2014 Ad Valorem Tax (est.)</v>
      </c>
      <c r="I36" s="584"/>
      <c r="J36" s="603"/>
      <c r="K36" s="585" t="str">
        <f>IF(G36=E40,"","Note: Does not include Delinquent Taxes")</f>
        <v/>
      </c>
    </row>
    <row r="37" spans="2:11">
      <c r="B37" s="385" t="str">
        <f>CONCATENATE(C87,"     ",D87)</f>
        <v xml:space="preserve">     </v>
      </c>
      <c r="C37" s="690" t="s">
        <v>201</v>
      </c>
      <c r="D37" s="691"/>
      <c r="E37" s="45">
        <f>E33+E36</f>
        <v>0</v>
      </c>
      <c r="G37" s="489">
        <f>SUM(G34:G36)</f>
        <v>0</v>
      </c>
      <c r="H37" s="482" t="str">
        <f>CONCATENATE("Total ",E3," Resources Available")</f>
        <v>Total 2014 Resources Available</v>
      </c>
      <c r="I37" s="584"/>
      <c r="J37" s="602"/>
      <c r="K37" s="16"/>
    </row>
    <row r="38" spans="2:11">
      <c r="B38" s="385" t="str">
        <f>CONCATENATE(C88,"     ",D88)</f>
        <v xml:space="preserve">     </v>
      </c>
      <c r="C38" s="493"/>
      <c r="D38" s="492" t="s">
        <v>202</v>
      </c>
      <c r="E38" s="42">
        <f>IF(E37-E22&gt;0,E37-E22,0)</f>
        <v>0</v>
      </c>
      <c r="F38" s="16"/>
      <c r="G38" s="480"/>
      <c r="H38" s="482"/>
      <c r="I38" s="482"/>
      <c r="J38" s="602"/>
      <c r="K38" s="16"/>
    </row>
    <row r="39" spans="2:11">
      <c r="B39" s="155"/>
      <c r="C39" s="491" t="s">
        <v>203</v>
      </c>
      <c r="D39" s="596">
        <f ca="1">inputOth!$E$35</f>
        <v>0</v>
      </c>
      <c r="E39" s="45">
        <f>ROUND(IF(D39&gt;0,(E38*D39),0),0)</f>
        <v>0</v>
      </c>
      <c r="F39" s="16"/>
      <c r="G39" s="481">
        <f>ROUND(C33*0.05+C33,0)</f>
        <v>0</v>
      </c>
      <c r="H39" s="482" t="str">
        <f>CONCATENATE("Less ",E3-2," Expenditures + 5%")</f>
        <v>Less 2012 Expenditures + 5%</v>
      </c>
      <c r="I39" s="584"/>
      <c r="J39" s="602"/>
      <c r="K39" s="16"/>
    </row>
    <row r="40" spans="2:11">
      <c r="B40" s="18"/>
      <c r="C40" s="686" t="str">
        <f>CONCATENATE("Amount of  ",$E$3-1," Ad Valorem Tax")</f>
        <v>Amount of  2013 Ad Valorem Tax</v>
      </c>
      <c r="D40" s="687"/>
      <c r="E40" s="42">
        <f>E38+E39</f>
        <v>0</v>
      </c>
      <c r="F40" s="16"/>
      <c r="G40" s="517">
        <f>G37-G39</f>
        <v>0</v>
      </c>
      <c r="H40" s="470" t="str">
        <f>CONCATENATE("Projected ",E3+1," carryover (est.)")</f>
        <v>Projected 2015 carryover (est.)</v>
      </c>
      <c r="I40" s="587"/>
      <c r="J40" s="604"/>
      <c r="K40" s="16"/>
    </row>
    <row r="41" spans="2:11">
      <c r="B41" s="18"/>
      <c r="C41" s="18"/>
      <c r="D41" s="18"/>
      <c r="E41" s="18"/>
      <c r="F41" s="16"/>
      <c r="G41" s="597"/>
      <c r="H41" s="597"/>
      <c r="I41" s="597"/>
      <c r="J41" s="597"/>
      <c r="K41" s="16"/>
    </row>
    <row r="42" spans="2:11">
      <c r="B42" s="17" t="s">
        <v>400</v>
      </c>
      <c r="C42" s="106"/>
      <c r="D42" s="106"/>
      <c r="E42" s="106"/>
      <c r="F42" s="16"/>
      <c r="G42" s="683" t="s">
        <v>274</v>
      </c>
      <c r="H42" s="684"/>
      <c r="I42" s="684"/>
      <c r="J42" s="685"/>
      <c r="K42" s="16"/>
    </row>
    <row r="43" spans="2:11" ht="15.75" customHeight="1">
      <c r="B43" s="18"/>
      <c r="C43" s="370" t="s">
        <v>614</v>
      </c>
      <c r="D43" s="371" t="s">
        <v>615</v>
      </c>
      <c r="E43" s="223" t="s">
        <v>612</v>
      </c>
      <c r="F43" s="16"/>
      <c r="G43" s="588"/>
      <c r="H43" s="488"/>
      <c r="I43" s="570"/>
      <c r="J43" s="589"/>
      <c r="K43" s="16"/>
    </row>
    <row r="44" spans="2:11" ht="15.75" customHeight="1">
      <c r="B44" s="388">
        <f ca="1">inputPrYr!B23</f>
        <v>0</v>
      </c>
      <c r="C44" s="372" t="str">
        <f>C6</f>
        <v>Actual for 2012</v>
      </c>
      <c r="D44" s="372" t="str">
        <f>D6</f>
        <v>Estimate for 2013</v>
      </c>
      <c r="E44" s="224" t="str">
        <f>E6</f>
        <v>Year for 2014</v>
      </c>
      <c r="F44" s="16"/>
      <c r="G44" s="590" t="str">
        <f ca="1">summ!H18</f>
        <v xml:space="preserve"> </v>
      </c>
      <c r="H44" s="488" t="str">
        <f>CONCATENATE("",E3," Fund Mill Rate")</f>
        <v>2014 Fund Mill Rate</v>
      </c>
      <c r="I44" s="570"/>
      <c r="J44" s="589"/>
      <c r="K44" s="16"/>
    </row>
    <row r="45" spans="2:11">
      <c r="B45" s="119" t="s">
        <v>493</v>
      </c>
      <c r="C45" s="366"/>
      <c r="D45" s="373">
        <f>C72</f>
        <v>0</v>
      </c>
      <c r="E45" s="45">
        <f>D72</f>
        <v>0</v>
      </c>
      <c r="F45" s="16"/>
      <c r="G45" s="592" t="str">
        <f ca="1">summ!E18</f>
        <v xml:space="preserve">  </v>
      </c>
      <c r="H45" s="488" t="str">
        <f>CONCATENATE("",E3-1," Fund Mill Rate")</f>
        <v>2013 Fund Mill Rate</v>
      </c>
      <c r="I45" s="570"/>
      <c r="J45" s="589"/>
      <c r="K45" s="16"/>
    </row>
    <row r="46" spans="2:11">
      <c r="B46" s="226" t="s">
        <v>495</v>
      </c>
      <c r="C46" s="227"/>
      <c r="D46" s="227"/>
      <c r="E46" s="123"/>
      <c r="F46" s="16"/>
      <c r="G46" s="593">
        <f ca="1">summ!H23</f>
        <v>0.82899999999999996</v>
      </c>
      <c r="H46" s="488" t="str">
        <f>CONCATENATE("Total ",E3," Mill Rate")</f>
        <v>Total 2014 Mill Rate</v>
      </c>
      <c r="I46" s="570"/>
      <c r="J46" s="589"/>
      <c r="K46" s="16"/>
    </row>
    <row r="47" spans="2:11">
      <c r="B47" s="119" t="s">
        <v>401</v>
      </c>
      <c r="C47" s="366"/>
      <c r="D47" s="373">
        <f ca="1">IF(inputPrYr!H18&gt;0,inputPrYr!G23,inputPrYr!E23)</f>
        <v>0</v>
      </c>
      <c r="E47" s="128" t="s">
        <v>396</v>
      </c>
      <c r="F47" s="16"/>
      <c r="G47" s="592">
        <f ca="1">summ!E23</f>
        <v>1.204</v>
      </c>
      <c r="H47" s="594" t="str">
        <f>CONCATENATE("Total ",E3-1," Mill Rate")</f>
        <v>Total 2013 Mill Rate</v>
      </c>
      <c r="I47" s="595"/>
      <c r="J47" s="78"/>
      <c r="K47" s="16"/>
    </row>
    <row r="48" spans="2:11">
      <c r="B48" s="119" t="s">
        <v>402</v>
      </c>
      <c r="C48" s="366"/>
      <c r="D48" s="366"/>
      <c r="E48" s="198"/>
      <c r="F48" s="16"/>
      <c r="G48" s="16"/>
      <c r="H48" s="16"/>
      <c r="I48" s="16"/>
      <c r="J48" s="16"/>
      <c r="K48" s="16"/>
    </row>
    <row r="49" spans="2:11">
      <c r="B49" s="119" t="s">
        <v>403</v>
      </c>
      <c r="C49" s="366"/>
      <c r="D49" s="366"/>
      <c r="E49" s="45">
        <f ca="1">mvalloc!D14</f>
        <v>0</v>
      </c>
      <c r="F49" s="16"/>
      <c r="G49" s="631" t="s">
        <v>72</v>
      </c>
      <c r="H49" s="630"/>
      <c r="I49" s="629" t="str">
        <f ca="1">cert!F31</f>
        <v>Yes</v>
      </c>
      <c r="J49" s="16"/>
      <c r="K49" s="16"/>
    </row>
    <row r="50" spans="2:11">
      <c r="B50" s="119" t="s">
        <v>404</v>
      </c>
      <c r="C50" s="366"/>
      <c r="D50" s="366"/>
      <c r="E50" s="45">
        <f ca="1">mvalloc!E14</f>
        <v>0</v>
      </c>
      <c r="F50" s="16"/>
      <c r="G50" s="16"/>
      <c r="H50" s="16"/>
      <c r="I50" s="16"/>
      <c r="J50" s="16"/>
      <c r="K50" s="16"/>
    </row>
    <row r="51" spans="2:11">
      <c r="B51" s="227" t="s">
        <v>477</v>
      </c>
      <c r="C51" s="366"/>
      <c r="D51" s="366"/>
      <c r="E51" s="45">
        <f ca="1">mvalloc!F14</f>
        <v>0</v>
      </c>
      <c r="F51" s="16"/>
      <c r="G51" s="16"/>
      <c r="H51" s="16"/>
      <c r="I51" s="16"/>
      <c r="J51" s="16"/>
      <c r="K51" s="16"/>
    </row>
    <row r="52" spans="2:11">
      <c r="B52" s="228"/>
      <c r="C52" s="366"/>
      <c r="D52" s="366"/>
      <c r="E52" s="198"/>
      <c r="F52" s="16"/>
      <c r="G52" s="16"/>
      <c r="H52" s="16"/>
      <c r="I52" s="16"/>
      <c r="J52" s="16"/>
      <c r="K52" s="16"/>
    </row>
    <row r="53" spans="2:11">
      <c r="B53" s="228"/>
      <c r="C53" s="366"/>
      <c r="D53" s="366"/>
      <c r="E53" s="198"/>
      <c r="F53" s="16"/>
      <c r="G53" s="16"/>
      <c r="H53" s="16"/>
      <c r="I53" s="16"/>
      <c r="J53" s="16"/>
      <c r="K53" s="16"/>
    </row>
    <row r="54" spans="2:11">
      <c r="B54" s="228"/>
      <c r="C54" s="366"/>
      <c r="D54" s="366"/>
      <c r="E54" s="198"/>
      <c r="F54" s="16"/>
      <c r="G54" s="16"/>
      <c r="H54" s="16"/>
      <c r="I54" s="16"/>
      <c r="J54" s="16"/>
      <c r="K54" s="16"/>
    </row>
    <row r="55" spans="2:11">
      <c r="B55" s="228"/>
      <c r="C55" s="366"/>
      <c r="D55" s="366"/>
      <c r="E55" s="198"/>
      <c r="F55" s="16"/>
      <c r="G55" s="16"/>
      <c r="H55" s="16"/>
      <c r="I55" s="16"/>
      <c r="J55" s="16"/>
      <c r="K55" s="16"/>
    </row>
    <row r="56" spans="2:11">
      <c r="B56" s="229" t="s">
        <v>406</v>
      </c>
      <c r="C56" s="366"/>
      <c r="D56" s="366"/>
      <c r="E56" s="198"/>
      <c r="F56" s="16"/>
      <c r="G56" s="16"/>
      <c r="H56" s="16"/>
      <c r="I56" s="16"/>
      <c r="J56" s="16"/>
      <c r="K56" s="16"/>
    </row>
    <row r="57" spans="2:11">
      <c r="B57" s="230" t="s">
        <v>586</v>
      </c>
      <c r="C57" s="228"/>
      <c r="D57" s="228"/>
      <c r="E57" s="198"/>
      <c r="F57" s="16"/>
      <c r="G57" s="16"/>
      <c r="H57" s="16"/>
      <c r="I57" s="16"/>
      <c r="J57" s="16"/>
      <c r="K57" s="16"/>
    </row>
    <row r="58" spans="2:11">
      <c r="B58" s="230" t="s">
        <v>104</v>
      </c>
      <c r="C58" s="367" t="str">
        <f>IF(C59*0.1&lt;C57,"Exceed 10% Rule","")</f>
        <v/>
      </c>
      <c r="D58" s="367" t="str">
        <f>IF(D59*0.1&lt;D57,"Exceed 10% Rule","")</f>
        <v/>
      </c>
      <c r="E58" s="386" t="str">
        <f>IF(E59*0.1+E78&lt;E57,"Exceed 10% Rule","")</f>
        <v/>
      </c>
      <c r="F58" s="16"/>
      <c r="G58" s="16"/>
      <c r="H58" s="16"/>
      <c r="I58" s="16"/>
      <c r="J58" s="16"/>
      <c r="K58" s="16"/>
    </row>
    <row r="59" spans="2:11">
      <c r="B59" s="233" t="s">
        <v>407</v>
      </c>
      <c r="C59" s="368">
        <f>SUM(C47:C57)</f>
        <v>0</v>
      </c>
      <c r="D59" s="368">
        <f>SUM(D47:D57)</f>
        <v>0</v>
      </c>
      <c r="E59" s="234">
        <f>SUM(E47:E57)</f>
        <v>0</v>
      </c>
      <c r="F59" s="16"/>
      <c r="G59" s="16"/>
      <c r="H59" s="16"/>
      <c r="I59" s="16"/>
      <c r="J59" s="16"/>
      <c r="K59" s="16"/>
    </row>
    <row r="60" spans="2:11">
      <c r="B60" s="233" t="s">
        <v>408</v>
      </c>
      <c r="C60" s="368">
        <f>C45+C59</f>
        <v>0</v>
      </c>
      <c r="D60" s="368">
        <f>D45+D59</f>
        <v>0</v>
      </c>
      <c r="E60" s="234">
        <f>E45+E59</f>
        <v>0</v>
      </c>
      <c r="F60" s="16"/>
      <c r="G60" s="16"/>
      <c r="H60" s="16"/>
      <c r="I60" s="16"/>
      <c r="J60" s="16"/>
      <c r="K60" s="16"/>
    </row>
    <row r="61" spans="2:11">
      <c r="B61" s="119" t="s">
        <v>409</v>
      </c>
      <c r="C61" s="121"/>
      <c r="D61" s="121"/>
      <c r="E61" s="36"/>
      <c r="F61" s="16"/>
      <c r="G61" s="16"/>
      <c r="H61" s="16"/>
      <c r="I61" s="16"/>
      <c r="J61" s="16"/>
      <c r="K61" s="16"/>
    </row>
    <row r="62" spans="2:11">
      <c r="B62" s="228"/>
      <c r="C62" s="366"/>
      <c r="D62" s="366"/>
      <c r="E62" s="198"/>
      <c r="F62" s="16"/>
      <c r="G62" s="16"/>
      <c r="H62" s="16"/>
      <c r="I62" s="16"/>
      <c r="J62" s="16"/>
      <c r="K62" s="16"/>
    </row>
    <row r="63" spans="2:11">
      <c r="B63" s="228"/>
      <c r="C63" s="366"/>
      <c r="D63" s="366"/>
      <c r="E63" s="198"/>
      <c r="F63" s="16"/>
      <c r="G63" s="16"/>
      <c r="H63" s="16"/>
      <c r="I63" s="16"/>
      <c r="J63" s="16"/>
      <c r="K63" s="16"/>
    </row>
    <row r="64" spans="2:11">
      <c r="B64" s="228"/>
      <c r="C64" s="366"/>
      <c r="D64" s="366"/>
      <c r="E64" s="198"/>
      <c r="F64" s="16"/>
      <c r="G64" s="16"/>
      <c r="H64" s="16"/>
      <c r="I64" s="16"/>
      <c r="J64" s="16"/>
      <c r="K64" s="16"/>
    </row>
    <row r="65" spans="2:11">
      <c r="B65" s="228"/>
      <c r="C65" s="366"/>
      <c r="D65" s="366"/>
      <c r="E65" s="198"/>
      <c r="F65" s="16"/>
      <c r="G65" s="680" t="str">
        <f>CONCATENATE("Desired Carryover Into ",E3+1,"")</f>
        <v>Desired Carryover Into 2015</v>
      </c>
      <c r="H65" s="681"/>
      <c r="I65" s="681"/>
      <c r="J65" s="682"/>
      <c r="K65" s="16"/>
    </row>
    <row r="66" spans="2:11">
      <c r="B66" s="228"/>
      <c r="C66" s="366"/>
      <c r="D66" s="366"/>
      <c r="E66" s="198"/>
      <c r="F66" s="16"/>
      <c r="G66" s="475"/>
      <c r="H66" s="69"/>
      <c r="I66" s="482"/>
      <c r="J66" s="474"/>
      <c r="K66" s="16"/>
    </row>
    <row r="67" spans="2:11">
      <c r="B67" s="228"/>
      <c r="C67" s="366"/>
      <c r="D67" s="366"/>
      <c r="E67" s="198"/>
      <c r="F67" s="16"/>
      <c r="G67" s="473" t="s">
        <v>206</v>
      </c>
      <c r="H67" s="482"/>
      <c r="I67" s="482"/>
      <c r="J67" s="472">
        <v>0</v>
      </c>
      <c r="K67" s="16"/>
    </row>
    <row r="68" spans="2:11">
      <c r="B68" s="121" t="s">
        <v>587</v>
      </c>
      <c r="C68" s="366"/>
      <c r="D68" s="366"/>
      <c r="E68" s="203" t="str">
        <f ca="1">Nhood!E10</f>
        <v/>
      </c>
      <c r="F68" s="16"/>
      <c r="G68" s="475" t="s">
        <v>207</v>
      </c>
      <c r="H68" s="69"/>
      <c r="I68" s="69"/>
      <c r="J68" s="598" t="str">
        <f ca="1">IF(J67=0,"",ROUND((J67+E81-G80)/inputOth!E7*1000,3)-G85)</f>
        <v/>
      </c>
      <c r="K68" s="16"/>
    </row>
    <row r="69" spans="2:11">
      <c r="B69" s="121" t="s">
        <v>586</v>
      </c>
      <c r="C69" s="228"/>
      <c r="D69" s="228"/>
      <c r="E69" s="198"/>
      <c r="F69" s="16"/>
      <c r="G69" s="579" t="str">
        <f>CONCATENATE("",E3," Tot Exp/Non-Appr Must Be:")</f>
        <v>2014 Tot Exp/Non-Appr Must Be:</v>
      </c>
      <c r="H69" s="569"/>
      <c r="I69" s="568"/>
      <c r="J69" s="580">
        <f>IF(J67&gt;0,IF(E75&lt;E60,IF(J67=G80,E75,((J67-G80)*(1-D77))+E60),E75+(J67-G80)),0)</f>
        <v>0</v>
      </c>
      <c r="K69" s="16"/>
    </row>
    <row r="70" spans="2:11">
      <c r="B70" s="121" t="s">
        <v>103</v>
      </c>
      <c r="C70" s="367" t="str">
        <f>IF(C71*0.1&lt;C69,"Exceed 10% Rule","")</f>
        <v/>
      </c>
      <c r="D70" s="367" t="str">
        <f>IF(D71*0.1&lt;D69,"Exceed 10% Rule","")</f>
        <v/>
      </c>
      <c r="E70" s="386" t="str">
        <f>IF(E71*0.1&lt;E69,"Exceed 10% Rule","")</f>
        <v/>
      </c>
      <c r="F70" s="16"/>
      <c r="G70" s="581" t="s">
        <v>273</v>
      </c>
      <c r="H70" s="582"/>
      <c r="I70" s="582"/>
      <c r="J70" s="583">
        <f>IF(J67&gt;0,J69-E75,0)</f>
        <v>0</v>
      </c>
      <c r="K70" s="16"/>
    </row>
    <row r="71" spans="2:11">
      <c r="B71" s="233" t="s">
        <v>410</v>
      </c>
      <c r="C71" s="368">
        <f>SUM(C62:C69)</f>
        <v>0</v>
      </c>
      <c r="D71" s="368">
        <f>SUM(D62:D69)</f>
        <v>0</v>
      </c>
      <c r="E71" s="234">
        <f>SUM(E62:E69)</f>
        <v>0</v>
      </c>
      <c r="F71" s="16"/>
      <c r="G71" s="16"/>
      <c r="H71" s="16"/>
      <c r="I71" s="16"/>
      <c r="J71" s="597"/>
      <c r="K71" s="16"/>
    </row>
    <row r="72" spans="2:11">
      <c r="B72" s="119" t="s">
        <v>494</v>
      </c>
      <c r="C72" s="369">
        <f>C60-C71</f>
        <v>0</v>
      </c>
      <c r="D72" s="369">
        <f>D60-D71</f>
        <v>0</v>
      </c>
      <c r="E72" s="128" t="s">
        <v>396</v>
      </c>
      <c r="F72" s="16"/>
      <c r="G72" s="680" t="str">
        <f>CONCATENATE("Projected Carryover Into ",E3+1,"")</f>
        <v>Projected Carryover Into 2015</v>
      </c>
      <c r="H72" s="694"/>
      <c r="I72" s="694"/>
      <c r="J72" s="693"/>
      <c r="K72" s="16"/>
    </row>
    <row r="73" spans="2:11">
      <c r="B73" s="138" t="str">
        <f>CONCATENATE("",E3-2,"/",E3-1," Budget Authority Amount:")</f>
        <v>2012/2013 Budget Authority Amount:</v>
      </c>
      <c r="C73" s="120">
        <f ca="1">inputOth!B44</f>
        <v>0</v>
      </c>
      <c r="D73" s="387">
        <f ca="1">inputPrYr!D23</f>
        <v>0</v>
      </c>
      <c r="E73" s="128" t="s">
        <v>396</v>
      </c>
      <c r="F73" s="16"/>
      <c r="G73" s="494"/>
      <c r="H73" s="69"/>
      <c r="I73" s="69"/>
      <c r="J73" s="483"/>
      <c r="K73" s="16"/>
    </row>
    <row r="74" spans="2:11">
      <c r="B74" s="138"/>
      <c r="C74" s="688" t="s">
        <v>200</v>
      </c>
      <c r="D74" s="689"/>
      <c r="E74" s="35"/>
      <c r="F74" s="611" t="str">
        <f>IF(E71/0.95-E71&lt;E74,"Exceeds 5%","")</f>
        <v/>
      </c>
      <c r="G74" s="489">
        <f>D72</f>
        <v>0</v>
      </c>
      <c r="H74" s="488" t="str">
        <f>CONCATENATE("",E3-1," Ending Cash Balance (est.)")</f>
        <v>2013 Ending Cash Balance (est.)</v>
      </c>
      <c r="I74" s="584"/>
      <c r="J74" s="483"/>
      <c r="K74" s="16"/>
    </row>
    <row r="75" spans="2:11">
      <c r="B75" s="385" t="str">
        <f>CONCATENATE(C89,"     ",D89)</f>
        <v xml:space="preserve">     </v>
      </c>
      <c r="C75" s="690" t="s">
        <v>201</v>
      </c>
      <c r="D75" s="691"/>
      <c r="E75" s="45">
        <f>E71+E74</f>
        <v>0</v>
      </c>
      <c r="F75" s="16"/>
      <c r="G75" s="489">
        <f>E59</f>
        <v>0</v>
      </c>
      <c r="H75" s="482" t="str">
        <f>CONCATENATE("",E3," Non-AV Receipts (est.)")</f>
        <v>2014 Non-AV Receipts (est.)</v>
      </c>
      <c r="I75" s="584"/>
      <c r="J75" s="483"/>
      <c r="K75" s="16"/>
    </row>
    <row r="76" spans="2:11">
      <c r="B76" s="385" t="str">
        <f>CONCATENATE(C90,"     ",D90)</f>
        <v xml:space="preserve">     </v>
      </c>
      <c r="C76" s="493"/>
      <c r="D76" s="492" t="s">
        <v>202</v>
      </c>
      <c r="E76" s="42">
        <f>IF(E75-E60&gt;0,E75-E60,0)</f>
        <v>0</v>
      </c>
      <c r="F76" s="251"/>
      <c r="G76" s="481">
        <f>IF(E77&gt;0,E76,E78)</f>
        <v>0</v>
      </c>
      <c r="H76" s="482" t="str">
        <f>CONCATENATE("",E3," Ad Valorem Tax (est.)")</f>
        <v>2014 Ad Valorem Tax (est.)</v>
      </c>
      <c r="I76" s="584"/>
      <c r="J76" s="483"/>
      <c r="K76" s="585" t="str">
        <f>IF(G76=E78,"","Note: Does not include Delinquent Taxes")</f>
        <v/>
      </c>
    </row>
    <row r="77" spans="2:11">
      <c r="B77" s="155"/>
      <c r="C77" s="491" t="s">
        <v>203</v>
      </c>
      <c r="D77" s="596">
        <f ca="1">inputOth!$E$35</f>
        <v>0</v>
      </c>
      <c r="E77" s="45">
        <f>ROUND(IF(D77&gt;0,(E76*D77),0),0)</f>
        <v>0</v>
      </c>
      <c r="G77" s="605">
        <f>SUM(G74:G76)</f>
        <v>0</v>
      </c>
      <c r="H77" s="482" t="str">
        <f>CONCATENATE("Total ",E3," Resources Available")</f>
        <v>Total 2014 Resources Available</v>
      </c>
      <c r="I77" s="483"/>
      <c r="J77" s="483"/>
      <c r="K77" s="16"/>
    </row>
    <row r="78" spans="2:11">
      <c r="B78" s="18"/>
      <c r="C78" s="686" t="str">
        <f>CONCATENATE("Amount of  ",$E$3-1," Ad Valorem Tax")</f>
        <v>Amount of  2013 Ad Valorem Tax</v>
      </c>
      <c r="D78" s="687"/>
      <c r="E78" s="42">
        <f>E76+E77</f>
        <v>0</v>
      </c>
      <c r="F78" s="16"/>
      <c r="G78" s="606"/>
      <c r="H78" s="495"/>
      <c r="I78" s="69"/>
      <c r="J78" s="483"/>
      <c r="K78" s="16"/>
    </row>
    <row r="79" spans="2:11">
      <c r="B79" s="18"/>
      <c r="C79" s="156"/>
      <c r="D79" s="156"/>
      <c r="E79" s="156"/>
      <c r="F79" s="16"/>
      <c r="G79" s="607">
        <f>ROUND(C71*0.05+C71,0)</f>
        <v>0</v>
      </c>
      <c r="H79" s="495" t="str">
        <f>CONCATENATE("Less ",E3-2," Expenditures + 5%")</f>
        <v>Less 2012 Expenditures + 5%</v>
      </c>
      <c r="I79" s="483"/>
      <c r="J79" s="483"/>
      <c r="K79" s="16"/>
    </row>
    <row r="80" spans="2:11">
      <c r="B80" s="138" t="s">
        <v>412</v>
      </c>
      <c r="C80" s="252"/>
      <c r="D80" s="18"/>
      <c r="E80" s="18"/>
      <c r="F80" s="16"/>
      <c r="G80" s="608">
        <f>G77-G79</f>
        <v>0</v>
      </c>
      <c r="H80" s="496" t="str">
        <f>CONCATENATE("Projected ",E3+1," carryover (est.)")</f>
        <v>Projected 2015 carryover (est.)</v>
      </c>
      <c r="I80" s="477"/>
      <c r="J80" s="604"/>
      <c r="K80" s="16"/>
    </row>
    <row r="81" spans="3:11">
      <c r="F81" s="16"/>
      <c r="G81" s="597"/>
      <c r="H81" s="597"/>
      <c r="I81" s="597"/>
      <c r="J81" s="16"/>
      <c r="K81" s="16"/>
    </row>
    <row r="82" spans="3:11">
      <c r="F82" s="16"/>
      <c r="G82" s="683" t="s">
        <v>274</v>
      </c>
      <c r="H82" s="684"/>
      <c r="I82" s="684"/>
      <c r="J82" s="685"/>
      <c r="K82" s="16"/>
    </row>
    <row r="83" spans="3:11">
      <c r="F83" s="16"/>
      <c r="G83" s="588"/>
      <c r="H83" s="488"/>
      <c r="I83" s="570"/>
      <c r="J83" s="589"/>
      <c r="K83" s="16"/>
    </row>
    <row r="84" spans="3:11">
      <c r="F84" s="16"/>
      <c r="G84" s="590" t="str">
        <f ca="1">summ!H19</f>
        <v xml:space="preserve"> </v>
      </c>
      <c r="H84" s="488" t="str">
        <f>CONCATENATE("",E3," Fund Mill Rate")</f>
        <v>2014 Fund Mill Rate</v>
      </c>
      <c r="I84" s="570"/>
      <c r="J84" s="589"/>
      <c r="K84" s="16"/>
    </row>
    <row r="85" spans="3:11">
      <c r="F85" s="16"/>
      <c r="G85" s="592" t="str">
        <f ca="1">summ!E19</f>
        <v xml:space="preserve">  </v>
      </c>
      <c r="H85" s="488" t="str">
        <f>CONCATENATE("",E3-1," Fund Mill Rate")</f>
        <v>2013 Fund Mill Rate</v>
      </c>
      <c r="I85" s="570"/>
      <c r="J85" s="589"/>
      <c r="K85" s="16"/>
    </row>
    <row r="86" spans="3:11" ht="15.75" customHeight="1">
      <c r="F86" s="16"/>
      <c r="G86" s="593">
        <f ca="1">summ!H23</f>
        <v>0.82899999999999996</v>
      </c>
      <c r="H86" s="488" t="str">
        <f>CONCATENATE("Total ",E3," Mill Rate")</f>
        <v>Total 2014 Mill Rate</v>
      </c>
      <c r="I86" s="570"/>
      <c r="J86" s="589"/>
      <c r="K86" s="16"/>
    </row>
    <row r="87" spans="3:11" ht="15.75" customHeight="1">
      <c r="C87" s="95" t="str">
        <f>IF(C33&gt;C35,"See Tab A","")</f>
        <v/>
      </c>
      <c r="D87" s="95" t="str">
        <f>IF(D33&gt;D35,"See Tab C","")</f>
        <v/>
      </c>
      <c r="F87" s="16"/>
      <c r="G87" s="592">
        <f ca="1">summ!E23</f>
        <v>1.204</v>
      </c>
      <c r="H87" s="594" t="str">
        <f>CONCATENATE("Total ",E2-1," Mill Rate")</f>
        <v>Total -1 Mill Rate</v>
      </c>
      <c r="I87" s="595"/>
      <c r="J87" s="78"/>
      <c r="K87" s="16"/>
    </row>
    <row r="88" spans="3:11" ht="15.75" customHeight="1">
      <c r="C88" s="95" t="str">
        <f>IF(C34&lt;0,"See Tab B","")</f>
        <v/>
      </c>
      <c r="D88" s="95" t="str">
        <f>IF(D34&lt;0,"See Tab D","")</f>
        <v/>
      </c>
    </row>
    <row r="89" spans="3:11" ht="15.75" customHeight="1">
      <c r="C89" s="95" t="str">
        <f>IF(C71&gt;C73,"See Tab A","")</f>
        <v/>
      </c>
      <c r="D89" s="95" t="str">
        <f>IF(D71&gt;D73,"See Tab C","")</f>
        <v/>
      </c>
      <c r="G89" s="631" t="s">
        <v>72</v>
      </c>
      <c r="H89" s="630"/>
      <c r="I89" s="629" t="str">
        <f ca="1">cert!F31</f>
        <v>Yes</v>
      </c>
    </row>
    <row r="90" spans="3:11" ht="21" customHeight="1">
      <c r="C90" s="95" t="str">
        <f>IF(C72&lt;0,"See Tab B","")</f>
        <v/>
      </c>
      <c r="D90" s="95" t="str">
        <f>IF(D72&lt;0,"See Tab D","")</f>
        <v/>
      </c>
    </row>
    <row r="91" spans="3:11">
      <c r="G91" s="612"/>
      <c r="H91" s="572"/>
      <c r="I91" s="617"/>
      <c r="J91" s="613"/>
    </row>
  </sheetData>
  <sheetProtection sheet="1"/>
  <mergeCells count="12">
    <mergeCell ref="G82:J82"/>
    <mergeCell ref="C78:D78"/>
    <mergeCell ref="C36:D36"/>
    <mergeCell ref="C37:D37"/>
    <mergeCell ref="G25:J25"/>
    <mergeCell ref="G32:J32"/>
    <mergeCell ref="C40:D40"/>
    <mergeCell ref="C74:D74"/>
    <mergeCell ref="C75:D75"/>
    <mergeCell ref="G65:J65"/>
    <mergeCell ref="G42:J42"/>
    <mergeCell ref="G72:J72"/>
  </mergeCells>
  <phoneticPr fontId="0" type="noConversion"/>
  <conditionalFormatting sqref="C19">
    <cfRule type="cellIs" dxfId="39" priority="6" stopIfTrue="1" operator="greaterThan">
      <formula>$C$21*0.1</formula>
    </cfRule>
  </conditionalFormatting>
  <conditionalFormatting sqref="D19">
    <cfRule type="cellIs" dxfId="38" priority="7" stopIfTrue="1" operator="greaterThan">
      <formula>$D$21*0.1</formula>
    </cfRule>
  </conditionalFormatting>
  <conditionalFormatting sqref="C31">
    <cfRule type="cellIs" dxfId="37" priority="8" stopIfTrue="1" operator="greaterThan">
      <formula>$C$33*0.1</formula>
    </cfRule>
  </conditionalFormatting>
  <conditionalFormatting sqref="D31">
    <cfRule type="cellIs" dxfId="36" priority="9" stopIfTrue="1" operator="greaterThan">
      <formula>$D$33*0.1</formula>
    </cfRule>
  </conditionalFormatting>
  <conditionalFormatting sqref="E31">
    <cfRule type="cellIs" dxfId="35" priority="10" stopIfTrue="1" operator="greaterThan">
      <formula>$E$33*0.1</formula>
    </cfRule>
  </conditionalFormatting>
  <conditionalFormatting sqref="C57">
    <cfRule type="cellIs" dxfId="34" priority="11" stopIfTrue="1" operator="greaterThan">
      <formula>$C$59*0.1</formula>
    </cfRule>
  </conditionalFormatting>
  <conditionalFormatting sqref="D57">
    <cfRule type="cellIs" dxfId="33" priority="12" stopIfTrue="1" operator="greaterThan">
      <formula>$D$59*0.1</formula>
    </cfRule>
  </conditionalFormatting>
  <conditionalFormatting sqref="C69">
    <cfRule type="cellIs" dxfId="32" priority="13" stopIfTrue="1" operator="greaterThan">
      <formula>$C$71*0.1</formula>
    </cfRule>
  </conditionalFormatting>
  <conditionalFormatting sqref="D69">
    <cfRule type="cellIs" dxfId="31" priority="14" stopIfTrue="1" operator="greaterThan">
      <formula>$D$71*0.1</formula>
    </cfRule>
  </conditionalFormatting>
  <conditionalFormatting sqref="E69">
    <cfRule type="cellIs" dxfId="30" priority="15" stopIfTrue="1" operator="greaterThan">
      <formula>$E$71*0.1</formula>
    </cfRule>
  </conditionalFormatting>
  <conditionalFormatting sqref="E74">
    <cfRule type="cellIs" dxfId="29" priority="16" stopIfTrue="1" operator="greaterThan">
      <formula>$E$71/0.95-$E$71</formula>
    </cfRule>
  </conditionalFormatting>
  <conditionalFormatting sqref="E36">
    <cfRule type="cellIs" dxfId="28" priority="17" stopIfTrue="1" operator="greaterThan">
      <formula>$E$33/0.95-$E$33</formula>
    </cfRule>
  </conditionalFormatting>
  <conditionalFormatting sqref="C72">
    <cfRule type="cellIs" dxfId="27" priority="18" stopIfTrue="1" operator="lessThan">
      <formula>0</formula>
    </cfRule>
  </conditionalFormatting>
  <conditionalFormatting sqref="E57">
    <cfRule type="cellIs" dxfId="26" priority="21" stopIfTrue="1" operator="greaterThan">
      <formula>$E$59*0.1+$E$78</formula>
    </cfRule>
  </conditionalFormatting>
  <conditionalFormatting sqref="E19">
    <cfRule type="cellIs" dxfId="25" priority="22" stopIfTrue="1" operator="greaterThan">
      <formula>$E$21*0.1+$E$40</formula>
    </cfRule>
  </conditionalFormatting>
  <conditionalFormatting sqref="D72 C34:D34">
    <cfRule type="cellIs" dxfId="24" priority="4" stopIfTrue="1" operator="lessThan">
      <formula>0</formula>
    </cfRule>
  </conditionalFormatting>
  <conditionalFormatting sqref="D33">
    <cfRule type="cellIs" dxfId="23" priority="43" stopIfTrue="1" operator="greaterThan">
      <formula>$D$35</formula>
    </cfRule>
  </conditionalFormatting>
  <conditionalFormatting sqref="C33">
    <cfRule type="cellIs" dxfId="22" priority="61" stopIfTrue="1" operator="greaterThan">
      <formula>$C$35</formula>
    </cfRule>
  </conditionalFormatting>
  <conditionalFormatting sqref="D71">
    <cfRule type="cellIs" dxfId="21" priority="76" stopIfTrue="1" operator="greaterThan">
      <formula>$D$73</formula>
    </cfRule>
  </conditionalFormatting>
  <conditionalFormatting sqref="C71">
    <cfRule type="cellIs" dxfId="20" priority="90" stopIfTrue="1" operator="greaterThan">
      <formula>$C$73</formula>
    </cfRule>
  </conditionalFormatting>
  <pageMargins left="1" right="1" top="0.5" bottom="0.5" header="0.5" footer="0.5"/>
  <pageSetup scale="54" orientation="portrait" blackAndWhite="1" horizontalDpi="120" verticalDpi="144" r:id="rId1"/>
  <headerFooter alignWithMargins="0">
    <oddHeader xml:space="preserve">&amp;RState of Kansas
Special District
</oddHeader>
  </headerFooter>
</worksheet>
</file>

<file path=xl/worksheets/sheet14.xml><?xml version="1.0" encoding="utf-8"?>
<worksheet xmlns="http://schemas.openxmlformats.org/spreadsheetml/2006/main" xmlns:r="http://schemas.openxmlformats.org/officeDocument/2006/relationships">
  <sheetPr>
    <pageSetUpPr fitToPage="1"/>
  </sheetPr>
  <dimension ref="B1:E70"/>
  <sheetViews>
    <sheetView workbookViewId="0">
      <selection activeCell="C25" sqref="C25:E26"/>
    </sheetView>
  </sheetViews>
  <sheetFormatPr defaultColWidth="27.77734375" defaultRowHeight="15.75"/>
  <cols>
    <col min="1" max="1" width="2.44140625" style="95" customWidth="1"/>
    <col min="2" max="2" width="31.109375" style="95" customWidth="1"/>
    <col min="3" max="4" width="15.77734375" style="95" customWidth="1"/>
    <col min="5" max="5" width="17.6640625" style="95" customWidth="1"/>
    <col min="6" max="16384" width="27.77734375" style="95"/>
  </cols>
  <sheetData>
    <row r="1" spans="2:5">
      <c r="B1" s="18" t="str">
        <f ca="1">inputPrYr!D3</f>
        <v>Crowm Hill Cemetery</v>
      </c>
      <c r="C1" s="222"/>
      <c r="D1" s="18"/>
      <c r="E1" s="182"/>
    </row>
    <row r="2" spans="2:5">
      <c r="B2" s="18" t="str">
        <f ca="1">inputPrYr!D4</f>
        <v xml:space="preserve">Comanche County </v>
      </c>
      <c r="C2" s="222"/>
      <c r="D2" s="18"/>
      <c r="E2" s="138"/>
    </row>
    <row r="3" spans="2:5">
      <c r="B3" s="25" t="s">
        <v>450</v>
      </c>
      <c r="C3" s="222"/>
      <c r="D3" s="222"/>
      <c r="E3" s="138">
        <f ca="1">inputPrYr!D6</f>
        <v>2014</v>
      </c>
    </row>
    <row r="4" spans="2:5">
      <c r="B4" s="18"/>
      <c r="C4" s="106"/>
      <c r="D4" s="106"/>
      <c r="E4" s="106"/>
    </row>
    <row r="5" spans="2:5">
      <c r="B5" s="17" t="s">
        <v>400</v>
      </c>
      <c r="C5" s="254" t="s">
        <v>614</v>
      </c>
      <c r="D5" s="223" t="s">
        <v>615</v>
      </c>
      <c r="E5" s="223" t="s">
        <v>612</v>
      </c>
    </row>
    <row r="6" spans="2:5">
      <c r="B6" s="388">
        <f ca="1">inputPrYr!B26</f>
        <v>0</v>
      </c>
      <c r="C6" s="224" t="str">
        <f>CONCATENATE("Actual for ",E3-2,"")</f>
        <v>Actual for 2012</v>
      </c>
      <c r="D6" s="224" t="str">
        <f>CONCATENATE("Estimate for ",E3-1,"")</f>
        <v>Estimate for 2013</v>
      </c>
      <c r="E6" s="224" t="str">
        <f>CONCATENATE("Year for ",E3,"")</f>
        <v>Year for 2014</v>
      </c>
    </row>
    <row r="7" spans="2:5">
      <c r="B7" s="119" t="s">
        <v>493</v>
      </c>
      <c r="C7" s="35"/>
      <c r="D7" s="45">
        <f>C32</f>
        <v>0</v>
      </c>
      <c r="E7" s="45">
        <f>D32</f>
        <v>0</v>
      </c>
    </row>
    <row r="8" spans="2:5">
      <c r="B8" s="226" t="s">
        <v>495</v>
      </c>
      <c r="C8" s="36"/>
      <c r="D8" s="36"/>
      <c r="E8" s="36"/>
    </row>
    <row r="9" spans="2:5">
      <c r="B9" s="228"/>
      <c r="C9" s="198"/>
      <c r="D9" s="198"/>
      <c r="E9" s="198"/>
    </row>
    <row r="10" spans="2:5">
      <c r="B10" s="228"/>
      <c r="C10" s="198"/>
      <c r="D10" s="198"/>
      <c r="E10" s="198"/>
    </row>
    <row r="11" spans="2:5">
      <c r="B11" s="228"/>
      <c r="C11" s="198"/>
      <c r="D11" s="198"/>
      <c r="E11" s="198"/>
    </row>
    <row r="12" spans="2:5">
      <c r="B12" s="228"/>
      <c r="C12" s="198"/>
      <c r="D12" s="198"/>
      <c r="E12" s="198"/>
    </row>
    <row r="13" spans="2:5">
      <c r="B13" s="228"/>
      <c r="C13" s="198"/>
      <c r="D13" s="198"/>
      <c r="E13" s="198"/>
    </row>
    <row r="14" spans="2:5">
      <c r="B14" s="228"/>
      <c r="C14" s="198"/>
      <c r="D14" s="198"/>
      <c r="E14" s="198"/>
    </row>
    <row r="15" spans="2:5">
      <c r="B15" s="228"/>
      <c r="C15" s="198"/>
      <c r="D15" s="198"/>
      <c r="E15" s="198"/>
    </row>
    <row r="16" spans="2:5">
      <c r="B16" s="229" t="s">
        <v>406</v>
      </c>
      <c r="C16" s="198"/>
      <c r="D16" s="198"/>
      <c r="E16" s="198"/>
    </row>
    <row r="17" spans="2:5">
      <c r="B17" s="230" t="s">
        <v>586</v>
      </c>
      <c r="C17" s="198"/>
      <c r="D17" s="231"/>
      <c r="E17" s="231"/>
    </row>
    <row r="18" spans="2:5">
      <c r="B18" s="230" t="s">
        <v>104</v>
      </c>
      <c r="C18" s="386" t="str">
        <f>IF(C19*0.1&lt;C17,"Exceed 10% Rule","")</f>
        <v/>
      </c>
      <c r="D18" s="232" t="str">
        <f>IF(D19*0.1&lt;D17,"Exceed 10% Rule","")</f>
        <v/>
      </c>
      <c r="E18" s="232" t="str">
        <f>IF(E19*0.1&lt;E17,"Exceed 10% Rule","")</f>
        <v/>
      </c>
    </row>
    <row r="19" spans="2:5">
      <c r="B19" s="233" t="s">
        <v>407</v>
      </c>
      <c r="C19" s="234">
        <f>SUM(C9:C17)</f>
        <v>0</v>
      </c>
      <c r="D19" s="234">
        <f>SUM(D9:D17)</f>
        <v>0</v>
      </c>
      <c r="E19" s="234">
        <f>SUM(E9:E17)</f>
        <v>0</v>
      </c>
    </row>
    <row r="20" spans="2:5">
      <c r="B20" s="233" t="s">
        <v>408</v>
      </c>
      <c r="C20" s="234">
        <f>C19+C7</f>
        <v>0</v>
      </c>
      <c r="D20" s="234">
        <f>D19+D7</f>
        <v>0</v>
      </c>
      <c r="E20" s="234">
        <f>E19+E7</f>
        <v>0</v>
      </c>
    </row>
    <row r="21" spans="2:5">
      <c r="B21" s="119" t="s">
        <v>409</v>
      </c>
      <c r="C21" s="36"/>
      <c r="D21" s="36"/>
      <c r="E21" s="36"/>
    </row>
    <row r="22" spans="2:5">
      <c r="B22" s="228"/>
      <c r="C22" s="198"/>
      <c r="D22" s="198"/>
      <c r="E22" s="198"/>
    </row>
    <row r="23" spans="2:5">
      <c r="B23" s="228"/>
      <c r="C23" s="198"/>
      <c r="D23" s="198"/>
      <c r="E23" s="198"/>
    </row>
    <row r="24" spans="2:5">
      <c r="B24" s="228"/>
      <c r="C24" s="198"/>
      <c r="D24" s="198"/>
      <c r="E24" s="198"/>
    </row>
    <row r="25" spans="2:5">
      <c r="B25" s="228"/>
      <c r="C25" s="198"/>
      <c r="D25" s="198"/>
      <c r="E25" s="198"/>
    </row>
    <row r="26" spans="2:5">
      <c r="B26" s="228"/>
      <c r="C26" s="198"/>
      <c r="D26" s="198"/>
      <c r="E26" s="198"/>
    </row>
    <row r="27" spans="2:5">
      <c r="B27" s="228"/>
      <c r="C27" s="198"/>
      <c r="D27" s="198"/>
      <c r="E27" s="198"/>
    </row>
    <row r="28" spans="2:5">
      <c r="B28" s="228"/>
      <c r="C28" s="198"/>
      <c r="D28" s="198"/>
      <c r="E28" s="198"/>
    </row>
    <row r="29" spans="2:5">
      <c r="B29" s="121" t="s">
        <v>586</v>
      </c>
      <c r="C29" s="35"/>
      <c r="D29" s="225"/>
      <c r="E29" s="225"/>
    </row>
    <row r="30" spans="2:5">
      <c r="B30" s="121" t="s">
        <v>103</v>
      </c>
      <c r="C30" s="386" t="str">
        <f>IF(C31*0.1&lt;C29,"Exceed 10% Rule","")</f>
        <v/>
      </c>
      <c r="D30" s="232" t="str">
        <f>IF(D31*0.1&lt;D29,"Exceed 10% Rule","")</f>
        <v/>
      </c>
      <c r="E30" s="232" t="str">
        <f>IF(E31*0.1&lt;E29,"Exceed 10% Rule","")</f>
        <v/>
      </c>
    </row>
    <row r="31" spans="2:5">
      <c r="B31" s="233" t="s">
        <v>410</v>
      </c>
      <c r="C31" s="234">
        <f>SUM(C22:C29)</f>
        <v>0</v>
      </c>
      <c r="D31" s="234">
        <f>SUM(D22:D29)</f>
        <v>0</v>
      </c>
      <c r="E31" s="234">
        <f>SUM(E22:E29)</f>
        <v>0</v>
      </c>
    </row>
    <row r="32" spans="2:5">
      <c r="B32" s="119" t="s">
        <v>494</v>
      </c>
      <c r="C32" s="42">
        <f>C20-C31</f>
        <v>0</v>
      </c>
      <c r="D32" s="42">
        <f>D20-D31</f>
        <v>0</v>
      </c>
      <c r="E32" s="42">
        <f>E20-E31</f>
        <v>0</v>
      </c>
    </row>
    <row r="33" spans="2:5">
      <c r="B33" s="138" t="str">
        <f>CONCATENATE("",E3-2,"/",E3-1," Budget Authority Amount:")</f>
        <v>2012/2013 Budget Authority Amount:</v>
      </c>
      <c r="C33" s="120">
        <f ca="1">inputOth!B45</f>
        <v>0</v>
      </c>
      <c r="D33" s="120">
        <f ca="1">inputPrYr!D26</f>
        <v>0</v>
      </c>
      <c r="E33" s="390" t="str">
        <f>IF(E32&lt;0,"See Tab E","")</f>
        <v/>
      </c>
    </row>
    <row r="34" spans="2:5">
      <c r="B34" s="138"/>
      <c r="C34" s="235" t="str">
        <f>IF(C31&gt;C33,"See Tab A","")</f>
        <v/>
      </c>
      <c r="D34" s="235" t="str">
        <f>IF(D31&gt;D33,"See Tab C","")</f>
        <v/>
      </c>
      <c r="E34" s="37"/>
    </row>
    <row r="35" spans="2:5">
      <c r="B35" s="138"/>
      <c r="C35" s="235" t="str">
        <f>IF(C32&lt;0,"See Tab B","")</f>
        <v/>
      </c>
      <c r="D35" s="235" t="str">
        <f>IF(D32&lt;0,"See Tab D","")</f>
        <v/>
      </c>
      <c r="E35" s="37"/>
    </row>
    <row r="36" spans="2:5">
      <c r="B36" s="18"/>
      <c r="C36" s="156"/>
      <c r="D36" s="156"/>
      <c r="E36" s="156"/>
    </row>
    <row r="37" spans="2:5">
      <c r="B37" s="18"/>
      <c r="C37" s="106"/>
      <c r="D37" s="106"/>
      <c r="E37" s="106"/>
    </row>
    <row r="38" spans="2:5" ht="15.75" customHeight="1">
      <c r="B38" s="17" t="s">
        <v>400</v>
      </c>
      <c r="C38" s="254" t="s">
        <v>614</v>
      </c>
      <c r="D38" s="223" t="s">
        <v>615</v>
      </c>
      <c r="E38" s="223" t="s">
        <v>612</v>
      </c>
    </row>
    <row r="39" spans="2:5" ht="15.75" customHeight="1">
      <c r="B39" s="388">
        <f ca="1">inputPrYr!B27</f>
        <v>0</v>
      </c>
      <c r="C39" s="224" t="str">
        <f>C6</f>
        <v>Actual for 2012</v>
      </c>
      <c r="D39" s="224" t="str">
        <f>D6</f>
        <v>Estimate for 2013</v>
      </c>
      <c r="E39" s="224" t="str">
        <f>E6</f>
        <v>Year for 2014</v>
      </c>
    </row>
    <row r="40" spans="2:5">
      <c r="B40" s="119" t="s">
        <v>493</v>
      </c>
      <c r="C40" s="35"/>
      <c r="D40" s="45">
        <f>C65</f>
        <v>0</v>
      </c>
      <c r="E40" s="45">
        <f>D65</f>
        <v>0</v>
      </c>
    </row>
    <row r="41" spans="2:5">
      <c r="B41" s="226" t="s">
        <v>495</v>
      </c>
      <c r="C41" s="36"/>
      <c r="D41" s="36"/>
      <c r="E41" s="36"/>
    </row>
    <row r="42" spans="2:5">
      <c r="B42" s="228"/>
      <c r="C42" s="198"/>
      <c r="D42" s="198"/>
      <c r="E42" s="198"/>
    </row>
    <row r="43" spans="2:5">
      <c r="B43" s="228"/>
      <c r="C43" s="198"/>
      <c r="D43" s="198"/>
      <c r="E43" s="198"/>
    </row>
    <row r="44" spans="2:5">
      <c r="B44" s="228"/>
      <c r="C44" s="198"/>
      <c r="D44" s="198"/>
      <c r="E44" s="198"/>
    </row>
    <row r="45" spans="2:5">
      <c r="B45" s="228"/>
      <c r="C45" s="198"/>
      <c r="D45" s="198"/>
      <c r="E45" s="198"/>
    </row>
    <row r="46" spans="2:5">
      <c r="B46" s="228"/>
      <c r="C46" s="198"/>
      <c r="D46" s="198"/>
      <c r="E46" s="198"/>
    </row>
    <row r="47" spans="2:5">
      <c r="B47" s="228"/>
      <c r="C47" s="198"/>
      <c r="D47" s="198"/>
      <c r="E47" s="198"/>
    </row>
    <row r="48" spans="2:5">
      <c r="B48" s="228"/>
      <c r="C48" s="198"/>
      <c r="D48" s="198"/>
      <c r="E48" s="198"/>
    </row>
    <row r="49" spans="2:5">
      <c r="B49" s="229" t="s">
        <v>406</v>
      </c>
      <c r="C49" s="198"/>
      <c r="D49" s="198"/>
      <c r="E49" s="198"/>
    </row>
    <row r="50" spans="2:5">
      <c r="B50" s="230" t="s">
        <v>586</v>
      </c>
      <c r="C50" s="198"/>
      <c r="D50" s="231"/>
      <c r="E50" s="231"/>
    </row>
    <row r="51" spans="2:5">
      <c r="B51" s="230" t="s">
        <v>104</v>
      </c>
      <c r="C51" s="386" t="str">
        <f>IF(C52*0.1&lt;C50,"Exceed 10% Rule","")</f>
        <v/>
      </c>
      <c r="D51" s="232" t="str">
        <f>IF(D52*0.1&lt;D50,"Exceed 10% Rule","")</f>
        <v/>
      </c>
      <c r="E51" s="232" t="str">
        <f>IF(E52*0.1&lt;E50,"Exceed 10% Rule","")</f>
        <v/>
      </c>
    </row>
    <row r="52" spans="2:5">
      <c r="B52" s="233" t="s">
        <v>407</v>
      </c>
      <c r="C52" s="234">
        <f>SUM(C42:C50)</f>
        <v>0</v>
      </c>
      <c r="D52" s="234">
        <f>SUM(D42:D50)</f>
        <v>0</v>
      </c>
      <c r="E52" s="234">
        <f>SUM(E42:E50)</f>
        <v>0</v>
      </c>
    </row>
    <row r="53" spans="2:5">
      <c r="B53" s="233" t="s">
        <v>408</v>
      </c>
      <c r="C53" s="234">
        <f>C52+C40</f>
        <v>0</v>
      </c>
      <c r="D53" s="234">
        <f>D52+D40</f>
        <v>0</v>
      </c>
      <c r="E53" s="234">
        <f>E52+E40</f>
        <v>0</v>
      </c>
    </row>
    <row r="54" spans="2:5">
      <c r="B54" s="119" t="s">
        <v>409</v>
      </c>
      <c r="C54" s="36"/>
      <c r="D54" s="36"/>
      <c r="E54" s="36"/>
    </row>
    <row r="55" spans="2:5">
      <c r="B55" s="228"/>
      <c r="C55" s="198"/>
      <c r="D55" s="198"/>
      <c r="E55" s="198"/>
    </row>
    <row r="56" spans="2:5">
      <c r="B56" s="228"/>
      <c r="C56" s="198"/>
      <c r="D56" s="198"/>
      <c r="E56" s="198"/>
    </row>
    <row r="57" spans="2:5">
      <c r="B57" s="228"/>
      <c r="C57" s="198"/>
      <c r="D57" s="198"/>
      <c r="E57" s="198"/>
    </row>
    <row r="58" spans="2:5">
      <c r="B58" s="228"/>
      <c r="C58" s="198"/>
      <c r="D58" s="198"/>
      <c r="E58" s="198"/>
    </row>
    <row r="59" spans="2:5">
      <c r="B59" s="228"/>
      <c r="C59" s="198"/>
      <c r="D59" s="198"/>
      <c r="E59" s="198"/>
    </row>
    <row r="60" spans="2:5">
      <c r="B60" s="228"/>
      <c r="C60" s="198"/>
      <c r="D60" s="198"/>
      <c r="E60" s="198"/>
    </row>
    <row r="61" spans="2:5">
      <c r="B61" s="228"/>
      <c r="C61" s="198"/>
      <c r="D61" s="198"/>
      <c r="E61" s="198"/>
    </row>
    <row r="62" spans="2:5">
      <c r="B62" s="121" t="s">
        <v>586</v>
      </c>
      <c r="C62" s="35"/>
      <c r="D62" s="225"/>
      <c r="E62" s="225"/>
    </row>
    <row r="63" spans="2:5">
      <c r="B63" s="121" t="s">
        <v>103</v>
      </c>
      <c r="C63" s="386" t="str">
        <f>IF(C64*0.1&lt;C62,"Exceed 10% Rule","")</f>
        <v/>
      </c>
      <c r="D63" s="232" t="str">
        <f>IF(D64*0.1&lt;D62,"Exceed 10% Rule","")</f>
        <v/>
      </c>
      <c r="E63" s="232" t="str">
        <f>IF(E64*0.1&lt;E62,"Exceed 10% Rule","")</f>
        <v/>
      </c>
    </row>
    <row r="64" spans="2:5">
      <c r="B64" s="233" t="s">
        <v>410</v>
      </c>
      <c r="C64" s="234">
        <f>SUM(C55:C62)</f>
        <v>0</v>
      </c>
      <c r="D64" s="234">
        <f>SUM(D55:D62)</f>
        <v>0</v>
      </c>
      <c r="E64" s="234">
        <f>SUM(E55:E62)</f>
        <v>0</v>
      </c>
    </row>
    <row r="65" spans="2:5">
      <c r="B65" s="119" t="s">
        <v>494</v>
      </c>
      <c r="C65" s="42">
        <f>C53-C64</f>
        <v>0</v>
      </c>
      <c r="D65" s="42">
        <f>D53-D64</f>
        <v>0</v>
      </c>
      <c r="E65" s="42">
        <f>E53-E64</f>
        <v>0</v>
      </c>
    </row>
    <row r="66" spans="2:5">
      <c r="B66" s="138" t="str">
        <f>CONCATENATE("",E3-2,"/",E3-1," Budget Authority Amount:")</f>
        <v>2012/2013 Budget Authority Amount:</v>
      </c>
      <c r="C66" s="120">
        <f ca="1">inputOth!B46</f>
        <v>0</v>
      </c>
      <c r="D66" s="120">
        <f ca="1">inputPrYr!D27</f>
        <v>0</v>
      </c>
      <c r="E66" s="390" t="str">
        <f>IF(E65&lt;0,"See Tab E","")</f>
        <v/>
      </c>
    </row>
    <row r="67" spans="2:5">
      <c r="B67" s="138"/>
      <c r="C67" s="235" t="str">
        <f>IF(C64&gt;C66,"See Tab A","")</f>
        <v/>
      </c>
      <c r="D67" s="235" t="str">
        <f>IF(D64&gt;D66,"See Tab C","")</f>
        <v/>
      </c>
      <c r="E67" s="18"/>
    </row>
    <row r="68" spans="2:5">
      <c r="B68" s="138"/>
      <c r="C68" s="235" t="str">
        <f>IF(C65&lt;0,"See Tab B","")</f>
        <v/>
      </c>
      <c r="D68" s="235" t="str">
        <f>IF(D65&lt;0,"See Tab D","")</f>
        <v/>
      </c>
      <c r="E68" s="18"/>
    </row>
    <row r="69" spans="2:5">
      <c r="B69" s="18"/>
      <c r="C69" s="18"/>
      <c r="D69" s="222"/>
      <c r="E69" s="222"/>
    </row>
    <row r="70" spans="2:5">
      <c r="B70" s="138" t="s">
        <v>412</v>
      </c>
      <c r="C70" s="252"/>
      <c r="D70" s="18"/>
      <c r="E70" s="18"/>
    </row>
  </sheetData>
  <sheetProtection sheet="1"/>
  <phoneticPr fontId="0" type="noConversion"/>
  <conditionalFormatting sqref="E17">
    <cfRule type="cellIs" dxfId="19" priority="6" stopIfTrue="1" operator="greaterThan">
      <formula>$E$19*0.1</formula>
    </cfRule>
  </conditionalFormatting>
  <conditionalFormatting sqref="E29">
    <cfRule type="cellIs" dxfId="18" priority="7" stopIfTrue="1" operator="greaterThan">
      <formula>$E$31*0.1</formula>
    </cfRule>
  </conditionalFormatting>
  <conditionalFormatting sqref="E50">
    <cfRule type="cellIs" dxfId="17" priority="8" stopIfTrue="1" operator="greaterThan">
      <formula>$E$52*0.1</formula>
    </cfRule>
  </conditionalFormatting>
  <conditionalFormatting sqref="E62">
    <cfRule type="cellIs" dxfId="16" priority="9" stopIfTrue="1" operator="greaterThan">
      <formula>$E$64*0.1</formula>
    </cfRule>
  </conditionalFormatting>
  <conditionalFormatting sqref="D17">
    <cfRule type="cellIs" dxfId="15" priority="10" stopIfTrue="1" operator="greaterThan">
      <formula>$D$19*0.1</formula>
    </cfRule>
  </conditionalFormatting>
  <conditionalFormatting sqref="D29">
    <cfRule type="cellIs" dxfId="14" priority="11" stopIfTrue="1" operator="greaterThan">
      <formula>$D$31*0.1</formula>
    </cfRule>
  </conditionalFormatting>
  <conditionalFormatting sqref="D50">
    <cfRule type="cellIs" dxfId="13" priority="12" stopIfTrue="1" operator="greaterThan">
      <formula>$D$52*0.1</formula>
    </cfRule>
  </conditionalFormatting>
  <conditionalFormatting sqref="D62">
    <cfRule type="cellIs" dxfId="12" priority="13" stopIfTrue="1" operator="greaterThan">
      <formula>$D$64*0.1</formula>
    </cfRule>
  </conditionalFormatting>
  <conditionalFormatting sqref="C17">
    <cfRule type="cellIs" dxfId="11" priority="14" stopIfTrue="1" operator="greaterThan">
      <formula>$C$19*0.1</formula>
    </cfRule>
  </conditionalFormatting>
  <conditionalFormatting sqref="C29">
    <cfRule type="cellIs" dxfId="10" priority="15" stopIfTrue="1" operator="greaterThan">
      <formula>$C$31*0.1</formula>
    </cfRule>
  </conditionalFormatting>
  <conditionalFormatting sqref="C50">
    <cfRule type="cellIs" dxfId="9" priority="16" stopIfTrue="1" operator="greaterThan">
      <formula>$C$52*0.1</formula>
    </cfRule>
  </conditionalFormatting>
  <conditionalFormatting sqref="C62">
    <cfRule type="cellIs" dxfId="8" priority="17" stopIfTrue="1" operator="greaterThan">
      <formula>$C$64*0.1</formula>
    </cfRule>
  </conditionalFormatting>
  <conditionalFormatting sqref="E65 C65 E32">
    <cfRule type="cellIs" dxfId="7" priority="18" stopIfTrue="1" operator="lessThan">
      <formula>0</formula>
    </cfRule>
  </conditionalFormatting>
  <conditionalFormatting sqref="C64">
    <cfRule type="cellIs" dxfId="6" priority="19" stopIfTrue="1" operator="greaterThan">
      <formula>$C$66</formula>
    </cfRule>
  </conditionalFormatting>
  <conditionalFormatting sqref="D64">
    <cfRule type="cellIs" dxfId="5" priority="20" stopIfTrue="1" operator="greaterThan">
      <formula>$D$66</formula>
    </cfRule>
  </conditionalFormatting>
  <conditionalFormatting sqref="C31">
    <cfRule type="cellIs" dxfId="4" priority="5" stopIfTrue="1" operator="greaterThan">
      <formula>$C$33</formula>
    </cfRule>
  </conditionalFormatting>
  <conditionalFormatting sqref="C32">
    <cfRule type="cellIs" dxfId="3" priority="4" stopIfTrue="1" operator="lessThan">
      <formula>0</formula>
    </cfRule>
  </conditionalFormatting>
  <conditionalFormatting sqref="D31">
    <cfRule type="cellIs" dxfId="2" priority="3" stopIfTrue="1" operator="greaterThan">
      <formula>$D$33</formula>
    </cfRule>
  </conditionalFormatting>
  <conditionalFormatting sqref="D32">
    <cfRule type="cellIs" dxfId="1" priority="2" stopIfTrue="1" operator="lessThan">
      <formula>0</formula>
    </cfRule>
  </conditionalFormatting>
  <conditionalFormatting sqref="D65">
    <cfRule type="cellIs" dxfId="0" priority="1" stopIfTrue="1" operator="lessThan">
      <formula>0</formula>
    </cfRule>
  </conditionalFormatting>
  <pageMargins left="1" right="1" top="0.5" bottom="0.5" header="0.5" footer="0.5"/>
  <pageSetup scale="62" orientation="portrait" blackAndWhite="1" horizontalDpi="120" verticalDpi="144" r:id="rId1"/>
  <headerFooter alignWithMargins="0">
    <oddHeader xml:space="preserve">&amp;RState of Kansas
Special District
</oddHeader>
  </headerFooter>
</worksheet>
</file>

<file path=xl/worksheets/sheet15.xml><?xml version="1.0" encoding="utf-8"?>
<worksheet xmlns="http://schemas.openxmlformats.org/spreadsheetml/2006/main" xmlns:r="http://schemas.openxmlformats.org/officeDocument/2006/relationships">
  <sheetPr>
    <pageSetUpPr fitToPage="1"/>
  </sheetPr>
  <dimension ref="A1:L41"/>
  <sheetViews>
    <sheetView workbookViewId="0">
      <selection activeCell="F33" sqref="F33"/>
    </sheetView>
  </sheetViews>
  <sheetFormatPr defaultRowHeight="15.75"/>
  <cols>
    <col min="1" max="1" width="11.5546875" style="95" customWidth="1"/>
    <col min="2" max="2" width="7.44140625" style="95" customWidth="1"/>
    <col min="3" max="3" width="11.5546875" style="95" customWidth="1"/>
    <col min="4" max="4" width="7.44140625" style="95" customWidth="1"/>
    <col min="5" max="5" width="11.5546875" style="95" customWidth="1"/>
    <col min="6" max="6" width="7.44140625" style="95" customWidth="1"/>
    <col min="7" max="7" width="11.5546875" style="95" customWidth="1"/>
    <col min="8" max="8" width="7.44140625" style="95" customWidth="1"/>
    <col min="9" max="9" width="11.5546875" style="95" customWidth="1"/>
    <col min="10" max="16384" width="8.88671875" style="95"/>
  </cols>
  <sheetData>
    <row r="1" spans="1:11">
      <c r="A1" s="165" t="str">
        <f ca="1">inputPrYr!$D$3</f>
        <v>Crowm Hill Cemetery</v>
      </c>
      <c r="B1" s="255"/>
      <c r="C1" s="60"/>
      <c r="D1" s="60"/>
      <c r="E1" s="60"/>
      <c r="F1" s="256" t="s">
        <v>599</v>
      </c>
      <c r="G1" s="60"/>
      <c r="H1" s="60"/>
      <c r="I1" s="60"/>
      <c r="J1" s="60"/>
      <c r="K1" s="60">
        <f ca="1">inputPrYr!$D$6</f>
        <v>2014</v>
      </c>
    </row>
    <row r="2" spans="1:11">
      <c r="A2" s="60"/>
      <c r="B2" s="60"/>
      <c r="C2" s="60"/>
      <c r="D2" s="60"/>
      <c r="E2" s="60"/>
      <c r="F2" s="257" t="str">
        <f>CONCATENATE("(Only the actual budget year for ",K1-2," is to be shown)")</f>
        <v>(Only the actual budget year for 2012 is to be shown)</v>
      </c>
      <c r="G2" s="60"/>
      <c r="H2" s="60"/>
      <c r="I2" s="60"/>
      <c r="J2" s="60"/>
      <c r="K2" s="60"/>
    </row>
    <row r="3" spans="1:11">
      <c r="A3" s="60" t="s">
        <v>600</v>
      </c>
      <c r="B3" s="60"/>
      <c r="C3" s="60"/>
      <c r="D3" s="60"/>
      <c r="E3" s="60"/>
      <c r="F3" s="255"/>
      <c r="G3" s="60"/>
      <c r="H3" s="60"/>
      <c r="I3" s="60"/>
      <c r="J3" s="60"/>
      <c r="K3" s="60"/>
    </row>
    <row r="4" spans="1:11">
      <c r="A4" s="60" t="s">
        <v>601</v>
      </c>
      <c r="B4" s="60"/>
      <c r="C4" s="60" t="s">
        <v>602</v>
      </c>
      <c r="D4" s="60"/>
      <c r="E4" s="60" t="s">
        <v>603</v>
      </c>
      <c r="F4" s="255"/>
      <c r="G4" s="60" t="s">
        <v>604</v>
      </c>
      <c r="H4" s="60"/>
      <c r="I4" s="60" t="s">
        <v>605</v>
      </c>
      <c r="J4" s="60"/>
      <c r="K4" s="60"/>
    </row>
    <row r="5" spans="1:11">
      <c r="A5" s="695">
        <f ca="1">inputPrYr!B30</f>
        <v>0</v>
      </c>
      <c r="B5" s="696"/>
      <c r="C5" s="695">
        <f ca="1">inputPrYr!B31</f>
        <v>0</v>
      </c>
      <c r="D5" s="696"/>
      <c r="E5" s="695">
        <f ca="1">inputPrYr!B32</f>
        <v>0</v>
      </c>
      <c r="F5" s="696"/>
      <c r="G5" s="695">
        <f ca="1">inputPrYr!B33</f>
        <v>0</v>
      </c>
      <c r="H5" s="696"/>
      <c r="I5" s="695">
        <f ca="1">inputPrYr!B34</f>
        <v>0</v>
      </c>
      <c r="J5" s="696"/>
      <c r="K5" s="259"/>
    </row>
    <row r="6" spans="1:11">
      <c r="A6" s="260" t="s">
        <v>606</v>
      </c>
      <c r="B6" s="261"/>
      <c r="C6" s="262" t="s">
        <v>606</v>
      </c>
      <c r="D6" s="263"/>
      <c r="E6" s="262" t="s">
        <v>606</v>
      </c>
      <c r="F6" s="264"/>
      <c r="G6" s="262" t="s">
        <v>606</v>
      </c>
      <c r="H6" s="258"/>
      <c r="I6" s="262" t="s">
        <v>606</v>
      </c>
      <c r="J6" s="60"/>
      <c r="K6" s="265" t="s">
        <v>381</v>
      </c>
    </row>
    <row r="7" spans="1:11">
      <c r="A7" s="266" t="s">
        <v>607</v>
      </c>
      <c r="B7" s="267"/>
      <c r="C7" s="268" t="s">
        <v>607</v>
      </c>
      <c r="D7" s="267"/>
      <c r="E7" s="268" t="s">
        <v>607</v>
      </c>
      <c r="F7" s="267"/>
      <c r="G7" s="268" t="s">
        <v>607</v>
      </c>
      <c r="H7" s="267"/>
      <c r="I7" s="268" t="s">
        <v>607</v>
      </c>
      <c r="J7" s="267"/>
      <c r="K7" s="269">
        <f>SUM(B7+D7+F7+H7+J7)</f>
        <v>0</v>
      </c>
    </row>
    <row r="8" spans="1:11">
      <c r="A8" s="270" t="s">
        <v>495</v>
      </c>
      <c r="B8" s="271"/>
      <c r="C8" s="270" t="s">
        <v>495</v>
      </c>
      <c r="D8" s="272"/>
      <c r="E8" s="270" t="s">
        <v>495</v>
      </c>
      <c r="F8" s="255"/>
      <c r="G8" s="270" t="s">
        <v>495</v>
      </c>
      <c r="H8" s="60"/>
      <c r="I8" s="270" t="s">
        <v>495</v>
      </c>
      <c r="J8" s="60"/>
      <c r="K8" s="255"/>
    </row>
    <row r="9" spans="1:11">
      <c r="A9" s="273"/>
      <c r="B9" s="267"/>
      <c r="C9" s="273"/>
      <c r="D9" s="267"/>
      <c r="E9" s="273"/>
      <c r="F9" s="267"/>
      <c r="G9" s="273"/>
      <c r="H9" s="267"/>
      <c r="I9" s="273"/>
      <c r="J9" s="267"/>
      <c r="K9" s="255"/>
    </row>
    <row r="10" spans="1:11">
      <c r="A10" s="273"/>
      <c r="B10" s="267"/>
      <c r="C10" s="273"/>
      <c r="D10" s="267"/>
      <c r="E10" s="273"/>
      <c r="F10" s="267"/>
      <c r="G10" s="273"/>
      <c r="H10" s="267"/>
      <c r="I10" s="273"/>
      <c r="J10" s="267"/>
      <c r="K10" s="255"/>
    </row>
    <row r="11" spans="1:11">
      <c r="A11" s="273"/>
      <c r="B11" s="267"/>
      <c r="C11" s="274"/>
      <c r="D11" s="275"/>
      <c r="E11" s="274"/>
      <c r="F11" s="267"/>
      <c r="G11" s="274"/>
      <c r="H11" s="267"/>
      <c r="I11" s="276"/>
      <c r="J11" s="267"/>
      <c r="K11" s="255"/>
    </row>
    <row r="12" spans="1:11">
      <c r="A12" s="273"/>
      <c r="B12" s="277"/>
      <c r="C12" s="273"/>
      <c r="D12" s="278"/>
      <c r="E12" s="279"/>
      <c r="F12" s="267"/>
      <c r="G12" s="279"/>
      <c r="H12" s="267"/>
      <c r="I12" s="279"/>
      <c r="J12" s="267"/>
      <c r="K12" s="255"/>
    </row>
    <row r="13" spans="1:11">
      <c r="A13" s="280"/>
      <c r="B13" s="281"/>
      <c r="C13" s="282"/>
      <c r="D13" s="278"/>
      <c r="E13" s="282"/>
      <c r="F13" s="267"/>
      <c r="G13" s="282"/>
      <c r="H13" s="267"/>
      <c r="I13" s="276"/>
      <c r="J13" s="267"/>
      <c r="K13" s="255"/>
    </row>
    <row r="14" spans="1:11">
      <c r="A14" s="273"/>
      <c r="B14" s="267"/>
      <c r="C14" s="279"/>
      <c r="D14" s="278"/>
      <c r="E14" s="279"/>
      <c r="F14" s="267"/>
      <c r="G14" s="279"/>
      <c r="H14" s="267"/>
      <c r="I14" s="279"/>
      <c r="J14" s="267"/>
      <c r="K14" s="255"/>
    </row>
    <row r="15" spans="1:11">
      <c r="A15" s="273"/>
      <c r="B15" s="267"/>
      <c r="C15" s="279"/>
      <c r="D15" s="278"/>
      <c r="E15" s="279"/>
      <c r="F15" s="267"/>
      <c r="G15" s="279"/>
      <c r="H15" s="267"/>
      <c r="I15" s="279"/>
      <c r="J15" s="267"/>
      <c r="K15" s="255"/>
    </row>
    <row r="16" spans="1:11">
      <c r="A16" s="273"/>
      <c r="B16" s="281"/>
      <c r="C16" s="273"/>
      <c r="D16" s="278"/>
      <c r="E16" s="273"/>
      <c r="F16" s="267"/>
      <c r="G16" s="279"/>
      <c r="H16" s="267"/>
      <c r="I16" s="273"/>
      <c r="J16" s="267"/>
      <c r="K16" s="255"/>
    </row>
    <row r="17" spans="1:12">
      <c r="A17" s="270" t="s">
        <v>407</v>
      </c>
      <c r="B17" s="269">
        <f>SUM(B9:B16)</f>
        <v>0</v>
      </c>
      <c r="C17" s="270" t="s">
        <v>407</v>
      </c>
      <c r="D17" s="269">
        <f>SUM(D9:D16)</f>
        <v>0</v>
      </c>
      <c r="E17" s="270" t="s">
        <v>407</v>
      </c>
      <c r="F17" s="283">
        <f>SUM(F9:F16)</f>
        <v>0</v>
      </c>
      <c r="G17" s="270" t="s">
        <v>407</v>
      </c>
      <c r="H17" s="269">
        <f>SUM(H9:H16)</f>
        <v>0</v>
      </c>
      <c r="I17" s="270" t="s">
        <v>407</v>
      </c>
      <c r="J17" s="269">
        <f>SUM(J9:J16)</f>
        <v>0</v>
      </c>
      <c r="K17" s="269">
        <f>SUM(B17+D17+F17+H17+J17)</f>
        <v>0</v>
      </c>
    </row>
    <row r="18" spans="1:12">
      <c r="A18" s="270" t="s">
        <v>408</v>
      </c>
      <c r="B18" s="269">
        <f>SUM(B7+B17)</f>
        <v>0</v>
      </c>
      <c r="C18" s="270" t="s">
        <v>408</v>
      </c>
      <c r="D18" s="269">
        <f>SUM(D7+D17)</f>
        <v>0</v>
      </c>
      <c r="E18" s="270" t="s">
        <v>408</v>
      </c>
      <c r="F18" s="269">
        <f>SUM(F7+F17)</f>
        <v>0</v>
      </c>
      <c r="G18" s="270" t="s">
        <v>408</v>
      </c>
      <c r="H18" s="269">
        <f>SUM(H7+H17)</f>
        <v>0</v>
      </c>
      <c r="I18" s="270" t="s">
        <v>408</v>
      </c>
      <c r="J18" s="269">
        <f>SUM(J7+J17)</f>
        <v>0</v>
      </c>
      <c r="K18" s="269">
        <f>SUM(B18+D18+F18+H18+J18)</f>
        <v>0</v>
      </c>
    </row>
    <row r="19" spans="1:12">
      <c r="A19" s="270" t="s">
        <v>409</v>
      </c>
      <c r="B19" s="271"/>
      <c r="C19" s="270" t="s">
        <v>409</v>
      </c>
      <c r="D19" s="272"/>
      <c r="E19" s="270" t="s">
        <v>409</v>
      </c>
      <c r="F19" s="255"/>
      <c r="G19" s="270" t="s">
        <v>409</v>
      </c>
      <c r="H19" s="60"/>
      <c r="I19" s="270" t="s">
        <v>409</v>
      </c>
      <c r="J19" s="60"/>
      <c r="K19" s="255"/>
    </row>
    <row r="20" spans="1:12">
      <c r="A20" s="273"/>
      <c r="B20" s="267"/>
      <c r="C20" s="279"/>
      <c r="D20" s="267"/>
      <c r="E20" s="279"/>
      <c r="F20" s="267"/>
      <c r="G20" s="279"/>
      <c r="H20" s="267"/>
      <c r="I20" s="279"/>
      <c r="J20" s="267"/>
      <c r="K20" s="255"/>
    </row>
    <row r="21" spans="1:12">
      <c r="A21" s="273"/>
      <c r="B21" s="267"/>
      <c r="C21" s="279"/>
      <c r="D21" s="267"/>
      <c r="E21" s="279"/>
      <c r="F21" s="267"/>
      <c r="G21" s="279"/>
      <c r="H21" s="267"/>
      <c r="I21" s="279"/>
      <c r="J21" s="267"/>
      <c r="K21" s="255"/>
    </row>
    <row r="22" spans="1:12">
      <c r="A22" s="273"/>
      <c r="B22" s="267"/>
      <c r="C22" s="282"/>
      <c r="D22" s="267"/>
      <c r="E22" s="282"/>
      <c r="F22" s="267"/>
      <c r="G22" s="282"/>
      <c r="H22" s="267"/>
      <c r="I22" s="276"/>
      <c r="J22" s="267"/>
      <c r="K22" s="255"/>
    </row>
    <row r="23" spans="1:12">
      <c r="A23" s="273"/>
      <c r="B23" s="267"/>
      <c r="C23" s="279"/>
      <c r="D23" s="267"/>
      <c r="E23" s="279"/>
      <c r="F23" s="267"/>
      <c r="G23" s="279"/>
      <c r="H23" s="267"/>
      <c r="I23" s="279"/>
      <c r="J23" s="267"/>
      <c r="K23" s="255"/>
    </row>
    <row r="24" spans="1:12">
      <c r="A24" s="273"/>
      <c r="B24" s="267"/>
      <c r="C24" s="282"/>
      <c r="D24" s="267"/>
      <c r="E24" s="282"/>
      <c r="F24" s="267"/>
      <c r="G24" s="282"/>
      <c r="H24" s="267"/>
      <c r="I24" s="276"/>
      <c r="J24" s="267"/>
      <c r="K24" s="255"/>
    </row>
    <row r="25" spans="1:12">
      <c r="A25" s="273"/>
      <c r="B25" s="267"/>
      <c r="C25" s="279"/>
      <c r="D25" s="267"/>
      <c r="E25" s="279"/>
      <c r="F25" s="267"/>
      <c r="G25" s="279"/>
      <c r="H25" s="267"/>
      <c r="I25" s="279"/>
      <c r="J25" s="267"/>
      <c r="K25" s="255"/>
    </row>
    <row r="26" spans="1:12">
      <c r="A26" s="273"/>
      <c r="B26" s="267"/>
      <c r="C26" s="279"/>
      <c r="D26" s="267"/>
      <c r="E26" s="279"/>
      <c r="F26" s="267"/>
      <c r="G26" s="279"/>
      <c r="H26" s="267"/>
      <c r="I26" s="279"/>
      <c r="J26" s="267"/>
      <c r="K26" s="255"/>
    </row>
    <row r="27" spans="1:12">
      <c r="A27" s="273"/>
      <c r="B27" s="267"/>
      <c r="C27" s="273"/>
      <c r="D27" s="267"/>
      <c r="E27" s="273"/>
      <c r="F27" s="267"/>
      <c r="G27" s="279"/>
      <c r="H27" s="267"/>
      <c r="I27" s="279"/>
      <c r="J27" s="267"/>
      <c r="K27" s="255"/>
    </row>
    <row r="28" spans="1:12">
      <c r="A28" s="270" t="s">
        <v>410</v>
      </c>
      <c r="B28" s="269">
        <f>SUM(B20:B27)</f>
        <v>0</v>
      </c>
      <c r="C28" s="270" t="s">
        <v>410</v>
      </c>
      <c r="D28" s="269">
        <f>SUM(D20:D27)</f>
        <v>0</v>
      </c>
      <c r="E28" s="270" t="s">
        <v>410</v>
      </c>
      <c r="F28" s="283">
        <f>SUM(F20:F27)</f>
        <v>0</v>
      </c>
      <c r="G28" s="270" t="s">
        <v>410</v>
      </c>
      <c r="H28" s="283">
        <f>SUM(H20:H27)</f>
        <v>0</v>
      </c>
      <c r="I28" s="270" t="s">
        <v>410</v>
      </c>
      <c r="J28" s="269">
        <f>SUM(J20:J27)</f>
        <v>0</v>
      </c>
      <c r="K28" s="269">
        <f>SUM(B28+D28+F28+H28+J28)</f>
        <v>0</v>
      </c>
    </row>
    <row r="29" spans="1:12">
      <c r="A29" s="270" t="s">
        <v>608</v>
      </c>
      <c r="B29" s="269">
        <f>SUM(B18-B28)</f>
        <v>0</v>
      </c>
      <c r="C29" s="270" t="s">
        <v>608</v>
      </c>
      <c r="D29" s="269">
        <f>SUM(D18-D28)</f>
        <v>0</v>
      </c>
      <c r="E29" s="270" t="s">
        <v>608</v>
      </c>
      <c r="F29" s="269">
        <f>SUM(F18-F28)</f>
        <v>0</v>
      </c>
      <c r="G29" s="270" t="s">
        <v>608</v>
      </c>
      <c r="H29" s="269">
        <f>SUM(H18-H28)</f>
        <v>0</v>
      </c>
      <c r="I29" s="270" t="s">
        <v>608</v>
      </c>
      <c r="J29" s="269">
        <f>SUM(J18-J28)</f>
        <v>0</v>
      </c>
      <c r="K29" s="284">
        <f>SUM(B29+D29+F29+H29+J29)</f>
        <v>0</v>
      </c>
      <c r="L29" s="95" t="s">
        <v>609</v>
      </c>
    </row>
    <row r="30" spans="1:12">
      <c r="A30" s="270"/>
      <c r="B30" s="320" t="str">
        <f>IF(B29&lt;0,"See Tab B","")</f>
        <v/>
      </c>
      <c r="C30" s="270"/>
      <c r="D30" s="320" t="str">
        <f>IF(D29&lt;0,"See Tab B","")</f>
        <v/>
      </c>
      <c r="E30" s="270"/>
      <c r="F30" s="320" t="str">
        <f>IF(F29&lt;0,"See Tab B","")</f>
        <v/>
      </c>
      <c r="G30" s="60"/>
      <c r="H30" s="320" t="str">
        <f>IF(H29&lt;0,"See Tab B","")</f>
        <v/>
      </c>
      <c r="I30" s="60"/>
      <c r="J30" s="320" t="str">
        <f>IF(J29&lt;0,"See Tab B","")</f>
        <v/>
      </c>
      <c r="K30" s="284">
        <f>SUM(K7+K17-K28)</f>
        <v>0</v>
      </c>
      <c r="L30" s="95" t="s">
        <v>609</v>
      </c>
    </row>
    <row r="31" spans="1:12">
      <c r="A31" s="60"/>
      <c r="B31" s="285"/>
      <c r="C31" s="60"/>
      <c r="D31" s="255"/>
      <c r="E31" s="60"/>
      <c r="F31" s="60"/>
      <c r="G31" s="286" t="s">
        <v>610</v>
      </c>
      <c r="H31" s="286"/>
      <c r="I31" s="286"/>
      <c r="J31" s="286"/>
      <c r="K31" s="60"/>
    </row>
    <row r="32" spans="1:12">
      <c r="A32" s="60"/>
      <c r="B32" s="285"/>
      <c r="C32" s="60"/>
      <c r="D32" s="60"/>
      <c r="E32" s="60"/>
      <c r="F32" s="60"/>
      <c r="G32" s="60"/>
      <c r="H32" s="60"/>
      <c r="I32" s="60"/>
      <c r="J32" s="60"/>
      <c r="K32" s="60"/>
    </row>
    <row r="33" spans="1:11">
      <c r="A33" s="60"/>
      <c r="B33" s="285"/>
      <c r="C33" s="60"/>
      <c r="D33" s="60"/>
      <c r="E33" s="287" t="s">
        <v>412</v>
      </c>
      <c r="F33" s="252"/>
      <c r="G33" s="60"/>
      <c r="H33" s="60"/>
      <c r="I33" s="60"/>
      <c r="J33" s="60"/>
      <c r="K33" s="60"/>
    </row>
    <row r="34" spans="1:11">
      <c r="B34" s="288"/>
    </row>
    <row r="35" spans="1:11">
      <c r="B35" s="288"/>
    </row>
    <row r="36" spans="1:11">
      <c r="B36" s="288"/>
    </row>
    <row r="37" spans="1:11">
      <c r="B37" s="288"/>
    </row>
    <row r="38" spans="1:11">
      <c r="B38" s="288"/>
    </row>
    <row r="39" spans="1:11">
      <c r="B39" s="288"/>
    </row>
    <row r="40" spans="1:11">
      <c r="B40" s="288"/>
    </row>
    <row r="41" spans="1:11">
      <c r="B41" s="288"/>
    </row>
  </sheetData>
  <sheetProtection sheet="1"/>
  <mergeCells count="5">
    <mergeCell ref="I5:J5"/>
    <mergeCell ref="A5:B5"/>
    <mergeCell ref="C5:D5"/>
    <mergeCell ref="E5:F5"/>
    <mergeCell ref="G5:H5"/>
  </mergeCells>
  <phoneticPr fontId="15" type="noConversion"/>
  <pageMargins left="0.75" right="0.75" top="1" bottom="1" header="0.5" footer="0.5"/>
  <pageSetup scale="88" orientation="landscape" blackAndWhite="1" r:id="rId1"/>
  <headerFooter alignWithMargins="0">
    <oddHeader>&amp;RState of Kansas
Special District</oddHeader>
  </headerFooter>
</worksheet>
</file>

<file path=xl/worksheets/sheet16.xml><?xml version="1.0" encoding="utf-8"?>
<worksheet xmlns="http://schemas.openxmlformats.org/spreadsheetml/2006/main" xmlns:r="http://schemas.openxmlformats.org/officeDocument/2006/relationships">
  <dimension ref="A1:A44"/>
  <sheetViews>
    <sheetView workbookViewId="0"/>
  </sheetViews>
  <sheetFormatPr defaultRowHeight="15"/>
  <cols>
    <col min="1" max="1" width="62.44140625" style="61" customWidth="1"/>
    <col min="2" max="16384" width="8.88671875" style="61"/>
  </cols>
  <sheetData>
    <row r="1" spans="1:1" ht="18.75">
      <c r="A1" s="316" t="s">
        <v>655</v>
      </c>
    </row>
    <row r="2" spans="1:1" ht="15.75">
      <c r="A2" s="95"/>
    </row>
    <row r="3" spans="1:1" ht="15.75">
      <c r="A3" s="95"/>
    </row>
    <row r="4" spans="1:1" ht="56.25" customHeight="1">
      <c r="A4" s="317" t="s">
        <v>656</v>
      </c>
    </row>
    <row r="5" spans="1:1" ht="15.75">
      <c r="A5" s="318"/>
    </row>
    <row r="6" spans="1:1" ht="15.75">
      <c r="A6" s="95"/>
    </row>
    <row r="7" spans="1:1" ht="50.25" customHeight="1">
      <c r="A7" s="317" t="s">
        <v>657</v>
      </c>
    </row>
    <row r="8" spans="1:1" ht="15.75">
      <c r="A8" s="95"/>
    </row>
    <row r="9" spans="1:1" ht="15.75">
      <c r="A9" s="95"/>
    </row>
    <row r="10" spans="1:1" ht="52.5" customHeight="1">
      <c r="A10" s="317" t="s">
        <v>658</v>
      </c>
    </row>
    <row r="11" spans="1:1" ht="15.75">
      <c r="A11" s="95"/>
    </row>
    <row r="12" spans="1:1" ht="15.75">
      <c r="A12" s="95"/>
    </row>
    <row r="13" spans="1:1" ht="52.5" customHeight="1">
      <c r="A13" s="317" t="s">
        <v>659</v>
      </c>
    </row>
    <row r="14" spans="1:1" ht="15.75">
      <c r="A14" s="318"/>
    </row>
    <row r="15" spans="1:1" ht="15.75">
      <c r="A15" s="318"/>
    </row>
    <row r="16" spans="1:1" ht="51" customHeight="1">
      <c r="A16" s="468" t="s">
        <v>192</v>
      </c>
    </row>
    <row r="17" spans="1:1" ht="15.75">
      <c r="A17" s="318"/>
    </row>
    <row r="18" spans="1:1" ht="15.75">
      <c r="A18" s="318"/>
    </row>
    <row r="19" spans="1:1" ht="37.5" customHeight="1">
      <c r="A19" s="317" t="s">
        <v>660</v>
      </c>
    </row>
    <row r="20" spans="1:1" ht="15.75">
      <c r="A20" s="95"/>
    </row>
    <row r="21" spans="1:1" ht="15.75">
      <c r="A21" s="95"/>
    </row>
    <row r="22" spans="1:1" ht="47.25">
      <c r="A22" s="317" t="s">
        <v>661</v>
      </c>
    </row>
    <row r="23" spans="1:1" ht="15.75">
      <c r="A23" s="318"/>
    </row>
    <row r="24" spans="1:1" ht="15.75">
      <c r="A24" s="95"/>
    </row>
    <row r="25" spans="1:1" ht="67.5" customHeight="1">
      <c r="A25" s="317" t="s">
        <v>662</v>
      </c>
    </row>
    <row r="26" spans="1:1" ht="68.25" customHeight="1">
      <c r="A26" s="319" t="s">
        <v>663</v>
      </c>
    </row>
    <row r="27" spans="1:1" ht="15.75">
      <c r="A27" s="95"/>
    </row>
    <row r="28" spans="1:1" ht="15.75">
      <c r="A28" s="95"/>
    </row>
    <row r="29" spans="1:1" ht="51" customHeight="1">
      <c r="A29" s="469" t="s">
        <v>193</v>
      </c>
    </row>
    <row r="30" spans="1:1" ht="15.75">
      <c r="A30" s="95"/>
    </row>
    <row r="31" spans="1:1" ht="15.75">
      <c r="A31" s="318"/>
    </row>
    <row r="32" spans="1:1" ht="69" customHeight="1">
      <c r="A32" s="469" t="s">
        <v>194</v>
      </c>
    </row>
    <row r="33" spans="1:1" ht="15.75">
      <c r="A33" s="318"/>
    </row>
    <row r="34" spans="1:1" ht="15.75">
      <c r="A34" s="318"/>
    </row>
    <row r="35" spans="1:1" ht="52.5" customHeight="1">
      <c r="A35" s="469" t="s">
        <v>195</v>
      </c>
    </row>
    <row r="36" spans="1:1" ht="15.75">
      <c r="A36" s="318"/>
    </row>
    <row r="37" spans="1:1" ht="15.75">
      <c r="A37" s="318"/>
    </row>
    <row r="38" spans="1:1" ht="59.25" customHeight="1">
      <c r="A38" s="317" t="s">
        <v>664</v>
      </c>
    </row>
    <row r="39" spans="1:1" ht="15.75">
      <c r="A39" s="95"/>
    </row>
    <row r="40" spans="1:1" ht="15.75">
      <c r="A40" s="95"/>
    </row>
    <row r="41" spans="1:1" ht="53.25" customHeight="1">
      <c r="A41" s="317" t="s">
        <v>665</v>
      </c>
    </row>
    <row r="42" spans="1:1" ht="15.75">
      <c r="A42" s="318"/>
    </row>
    <row r="43" spans="1:1" ht="15.75">
      <c r="A43" s="318"/>
    </row>
    <row r="44" spans="1:1" ht="38.25" customHeight="1">
      <c r="A44" s="317" t="s">
        <v>666</v>
      </c>
    </row>
  </sheetData>
  <sheetProtection sheet="1"/>
  <phoneticPr fontId="0" type="noConversion"/>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sheetPr>
    <pageSetUpPr fitToPage="1"/>
  </sheetPr>
  <dimension ref="A1:M53"/>
  <sheetViews>
    <sheetView tabSelected="1" workbookViewId="0">
      <selection activeCell="H22" sqref="H22"/>
    </sheetView>
  </sheetViews>
  <sheetFormatPr defaultRowHeight="15.75"/>
  <cols>
    <col min="1" max="1" width="15.77734375" style="95" customWidth="1"/>
    <col min="2" max="2" width="12.77734375" style="95" customWidth="1"/>
    <col min="3" max="3" width="8.77734375" style="95" customWidth="1"/>
    <col min="4" max="4" width="12.77734375" style="95" customWidth="1"/>
    <col min="5" max="5" width="9.21875" style="95" customWidth="1"/>
    <col min="6" max="6" width="12.77734375" style="95" customWidth="1"/>
    <col min="7" max="7" width="10.77734375" style="95" customWidth="1"/>
    <col min="8" max="8" width="8.77734375" style="95" customWidth="1"/>
    <col min="9" max="9" width="8.88671875" style="95"/>
    <col min="10" max="10" width="12.44140625" style="95" customWidth="1"/>
    <col min="11" max="11" width="12.33203125" style="95" customWidth="1"/>
    <col min="12" max="12" width="5.77734375" style="95" customWidth="1"/>
    <col min="13" max="13" width="12" style="95" customWidth="1"/>
    <col min="14" max="16384" width="8.88671875" style="95"/>
  </cols>
  <sheetData>
    <row r="1" spans="1:13">
      <c r="A1" s="643" t="s">
        <v>451</v>
      </c>
      <c r="B1" s="643"/>
      <c r="C1" s="643"/>
      <c r="D1" s="643"/>
      <c r="E1" s="643"/>
      <c r="F1" s="643"/>
      <c r="G1" s="643"/>
      <c r="H1" s="707"/>
    </row>
    <row r="2" spans="1:13">
      <c r="A2" s="18"/>
      <c r="B2" s="18"/>
      <c r="C2" s="18"/>
      <c r="D2" s="18"/>
      <c r="E2" s="18"/>
      <c r="F2" s="18"/>
      <c r="G2" s="18"/>
      <c r="H2" s="18"/>
    </row>
    <row r="3" spans="1:13">
      <c r="A3" s="672" t="s">
        <v>478</v>
      </c>
      <c r="B3" s="672"/>
      <c r="C3" s="672"/>
      <c r="D3" s="672"/>
      <c r="E3" s="672"/>
      <c r="F3" s="672"/>
      <c r="G3" s="672"/>
      <c r="H3" s="672"/>
      <c r="I3" s="52">
        <f ca="1">inputPrYr!D6</f>
        <v>2014</v>
      </c>
    </row>
    <row r="4" spans="1:13">
      <c r="A4" s="641" t="str">
        <f ca="1">inputPrYr!D3</f>
        <v>Crowm Hill Cemetery</v>
      </c>
      <c r="B4" s="641"/>
      <c r="C4" s="641"/>
      <c r="D4" s="641"/>
      <c r="E4" s="641"/>
      <c r="F4" s="641"/>
      <c r="G4" s="641"/>
      <c r="H4" s="641"/>
    </row>
    <row r="5" spans="1:13">
      <c r="A5" s="710" t="str">
        <f ca="1">inputPrYr!D4</f>
        <v xml:space="preserve">Comanche County </v>
      </c>
      <c r="B5" s="710"/>
      <c r="C5" s="710"/>
      <c r="D5" s="710"/>
      <c r="E5" s="710"/>
      <c r="F5" s="710"/>
      <c r="G5" s="710"/>
      <c r="H5" s="710"/>
    </row>
    <row r="6" spans="1:13">
      <c r="A6" s="661" t="str">
        <f ca="1">CONCATENATE("will meet on ",inputBudSum!B7," at ",inputBudSum!B9," at ",inputBudSum!B11," for the purpose of hearing and")</f>
        <v>will meet on  at 1:00 p.m. at Commissioner's Room for the purpose of hearing and</v>
      </c>
      <c r="B6" s="661"/>
      <c r="C6" s="661"/>
      <c r="D6" s="661"/>
      <c r="E6" s="661"/>
      <c r="F6" s="661"/>
      <c r="G6" s="661"/>
      <c r="H6" s="661"/>
    </row>
    <row r="7" spans="1:13">
      <c r="A7" s="97" t="s">
        <v>697</v>
      </c>
      <c r="B7" s="24"/>
      <c r="C7" s="24"/>
      <c r="D7" s="24"/>
      <c r="E7" s="24"/>
      <c r="F7" s="24"/>
      <c r="G7" s="24"/>
      <c r="H7" s="24"/>
    </row>
    <row r="8" spans="1:13">
      <c r="A8" s="97" t="str">
        <f ca="1">CONCATENATE("Detailed budget information is available at ",inputBudSum!B14," and will be available at this hearing.")</f>
        <v>Detailed budget information is available at Riachard Beeley's Residence  and will be available at this hearing.</v>
      </c>
      <c r="B8" s="24"/>
      <c r="C8" s="24"/>
      <c r="D8" s="24"/>
      <c r="E8" s="24"/>
      <c r="F8" s="24"/>
      <c r="G8" s="24"/>
      <c r="H8" s="24"/>
    </row>
    <row r="9" spans="1:13">
      <c r="A9" s="23" t="s">
        <v>452</v>
      </c>
      <c r="B9" s="24"/>
      <c r="C9" s="24"/>
      <c r="D9" s="24"/>
      <c r="E9" s="24"/>
      <c r="F9" s="24"/>
      <c r="G9" s="24"/>
      <c r="H9" s="24"/>
    </row>
    <row r="10" spans="1:13">
      <c r="A10" s="97" t="str">
        <f>CONCATENATE("Proposed Budget ",I3," Expenditures and Amount of ",I3-1," Ad Valorem Tax establish the maximum limits")</f>
        <v>Proposed Budget 2014 Expenditures and Amount of 2013 Ad Valorem Tax establish the maximum limits</v>
      </c>
      <c r="B10" s="24"/>
      <c r="C10" s="24"/>
      <c r="D10" s="24"/>
      <c r="E10" s="24"/>
      <c r="F10" s="24"/>
      <c r="G10" s="24"/>
      <c r="H10" s="24"/>
    </row>
    <row r="11" spans="1:13">
      <c r="A11" s="97" t="str">
        <f>CONCATENATE("of the ",I3," budget.  Estimated Tax Rate is subject to change depending on the final assessed valuation.")</f>
        <v>of the 2014 budget.  Estimated Tax Rate is subject to change depending on the final assessed valuation.</v>
      </c>
      <c r="B11" s="24"/>
      <c r="C11" s="24"/>
      <c r="D11" s="24"/>
      <c r="E11" s="24"/>
      <c r="F11" s="24"/>
      <c r="G11" s="24"/>
      <c r="H11" s="24"/>
    </row>
    <row r="12" spans="1:13">
      <c r="A12" s="18"/>
      <c r="B12" s="99"/>
      <c r="C12" s="99"/>
      <c r="D12" s="99"/>
      <c r="E12" s="99"/>
      <c r="F12" s="99"/>
      <c r="G12" s="99"/>
      <c r="H12" s="99"/>
      <c r="J12" s="699" t="str">
        <f>CONCATENATE("Estimated Value Of One Mill For ",I3,"")</f>
        <v>Estimated Value Of One Mill For 2014</v>
      </c>
      <c r="K12" s="700"/>
      <c r="L12" s="700"/>
      <c r="M12" s="701"/>
    </row>
    <row r="13" spans="1:13">
      <c r="A13" s="212"/>
      <c r="B13" s="289" t="str">
        <f>CONCATENATE("Prior Year Actual ",I3-2,"")</f>
        <v>Prior Year Actual 2012</v>
      </c>
      <c r="C13" s="290"/>
      <c r="D13" s="291" t="str">
        <f>CONCATENATE("Current Year Estimate for ",I3-1,"")</f>
        <v>Current Year Estimate for 2013</v>
      </c>
      <c r="E13" s="290"/>
      <c r="F13" s="289" t="str">
        <f>CONCATENATE("Proposed Budget Year for ",I3,"")</f>
        <v>Proposed Budget Year for 2014</v>
      </c>
      <c r="G13" s="292"/>
      <c r="H13" s="290"/>
      <c r="J13" s="497"/>
      <c r="K13" s="498"/>
      <c r="L13" s="498"/>
      <c r="M13" s="499"/>
    </row>
    <row r="14" spans="1:13">
      <c r="A14" s="215"/>
      <c r="B14" s="105"/>
      <c r="C14" s="293" t="s">
        <v>419</v>
      </c>
      <c r="D14" s="105"/>
      <c r="E14" s="293" t="s">
        <v>419</v>
      </c>
      <c r="F14" s="215" t="s">
        <v>580</v>
      </c>
      <c r="G14" s="708" t="str">
        <f>CONCATENATE("Amount of ",I3-1," Ad Valorem Tax")</f>
        <v>Amount of 2013 Ad Valorem Tax</v>
      </c>
      <c r="H14" s="293" t="s">
        <v>107</v>
      </c>
      <c r="J14" s="500" t="s">
        <v>208</v>
      </c>
      <c r="K14" s="501"/>
      <c r="L14" s="501"/>
      <c r="M14" s="502">
        <f>ROUND(F27/1000,0)</f>
        <v>45044</v>
      </c>
    </row>
    <row r="15" spans="1:13">
      <c r="A15" s="169" t="s">
        <v>420</v>
      </c>
      <c r="B15" s="114" t="s">
        <v>421</v>
      </c>
      <c r="C15" s="294" t="s">
        <v>565</v>
      </c>
      <c r="D15" s="114" t="s">
        <v>421</v>
      </c>
      <c r="E15" s="294" t="s">
        <v>565</v>
      </c>
      <c r="F15" s="114" t="s">
        <v>102</v>
      </c>
      <c r="G15" s="709"/>
      <c r="H15" s="294" t="s">
        <v>565</v>
      </c>
      <c r="J15" s="16"/>
      <c r="K15" s="16"/>
      <c r="L15" s="16"/>
      <c r="M15" s="16"/>
    </row>
    <row r="16" spans="1:13">
      <c r="A16" s="36" t="str">
        <f ca="1">inputPrYr!B19</f>
        <v>General</v>
      </c>
      <c r="B16" s="123">
        <f ca="1">IF(gen!$C$61&lt;&gt;0,gen!$C$61,"  ")</f>
        <v>39838.75</v>
      </c>
      <c r="C16" s="622">
        <f ca="1">IF(inputPrYr!D38&gt;0,inputPrYr!D38,"  ")</f>
        <v>0.89700000000000002</v>
      </c>
      <c r="D16" s="560">
        <f ca="1">IF(gen!$D$61&lt;&gt;0,gen!$D$61,"  ")</f>
        <v>47562</v>
      </c>
      <c r="E16" s="625">
        <f ca="1">IF(inputOth!D16&gt;0,inputOth!D16,"  ")</f>
        <v>1.204</v>
      </c>
      <c r="F16" s="560">
        <f ca="1">IF(gen!$E$61&lt;&gt;0,gen!$E$61,"  ")</f>
        <v>47562</v>
      </c>
      <c r="G16" s="243">
        <f ca="1">IF(gen!$E$68&lt;&gt;0,gen!$E$68,"  ")</f>
        <v>37325.489999999991</v>
      </c>
      <c r="H16" s="622">
        <f ca="1">IF(gen!E68&gt;0,ROUND(G16/$F$27*1000,3)," ")</f>
        <v>0.82899999999999996</v>
      </c>
      <c r="J16" s="699" t="str">
        <f>CONCATENATE("Want The Mill Rate The Same As For ",I3-1,"?")</f>
        <v>Want The Mill Rate The Same As For 2013?</v>
      </c>
      <c r="K16" s="702"/>
      <c r="L16" s="702"/>
      <c r="M16" s="703"/>
    </row>
    <row r="17" spans="1:13">
      <c r="A17" s="36" t="s">
        <v>639</v>
      </c>
      <c r="B17" s="123" t="str">
        <f ca="1">IF(DebtService!$C$53&lt;&gt;0,DebtService!$C$53,"  ")</f>
        <v xml:space="preserve">  </v>
      </c>
      <c r="C17" s="622" t="str">
        <f ca="1">IF(inputPrYr!D39&gt;0,inputPrYr!D39,"  ")</f>
        <v xml:space="preserve">  </v>
      </c>
      <c r="D17" s="560" t="str">
        <f ca="1">IF(DebtService!$D$53&lt;&gt;0,DebtService!$D$53,"  ")</f>
        <v xml:space="preserve">  </v>
      </c>
      <c r="E17" s="625" t="str">
        <f ca="1">IF(inputOth!D17&gt;0,inputOth!D17,"  ")</f>
        <v xml:space="preserve">  </v>
      </c>
      <c r="F17" s="560" t="str">
        <f ca="1">IF(DebtService!$E$53&lt;&gt;0,DebtService!$E$53,"  ")</f>
        <v xml:space="preserve">  </v>
      </c>
      <c r="G17" s="243" t="str">
        <f ca="1">IF(DebtService!$E$60&lt;&gt;0,DebtService!$E$60,"  ")</f>
        <v xml:space="preserve">  </v>
      </c>
      <c r="H17" s="622" t="str">
        <f ca="1">IF(DebtService!E60&gt;0,ROUND(G17/$F$27*1000,3)," ")</f>
        <v xml:space="preserve"> </v>
      </c>
      <c r="J17" s="503"/>
      <c r="K17" s="498"/>
      <c r="L17" s="498"/>
      <c r="M17" s="504"/>
    </row>
    <row r="18" spans="1:13">
      <c r="A18" s="36" t="str">
        <f ca="1">IF(inputPrYr!$B22&gt;"  ",inputPrYr!$B22,"  ")</f>
        <v xml:space="preserve">  </v>
      </c>
      <c r="B18" s="123" t="str">
        <f ca="1">IF(levypage8!$C$33&lt;&gt;0,levypage8!$C$33,"  ")</f>
        <v xml:space="preserve">  </v>
      </c>
      <c r="C18" s="622" t="str">
        <f ca="1">IF(inputPrYr!D40&gt;0,inputPrYr!D40,"  ")</f>
        <v xml:space="preserve">  </v>
      </c>
      <c r="D18" s="560" t="str">
        <f ca="1">IF(levypage8!$D$33&lt;&gt;0,levypage8!$D$33,"  ")</f>
        <v xml:space="preserve">  </v>
      </c>
      <c r="E18" s="625" t="str">
        <f ca="1">IF(inputOth!D18&gt;0,inputOth!D18,"  ")</f>
        <v xml:space="preserve">  </v>
      </c>
      <c r="F18" s="560" t="str">
        <f ca="1">IF(levypage8!$E$33&lt;&gt;0,levypage8!$E$33,"  ")</f>
        <v xml:space="preserve">  </v>
      </c>
      <c r="G18" s="243" t="str">
        <f ca="1">IF(levypage8!$E$40&lt;&gt;0,levypage8!$E$40,"  ")</f>
        <v xml:space="preserve">  </v>
      </c>
      <c r="H18" s="622" t="str">
        <f ca="1">IF(levypage8!E40&gt;0,ROUND(G18/$F$27*1000,3)," ")</f>
        <v xml:space="preserve"> </v>
      </c>
      <c r="J18" s="503" t="str">
        <f>CONCATENATE("",I3-1," Mill Rate Was:")</f>
        <v>2013 Mill Rate Was:</v>
      </c>
      <c r="K18" s="498"/>
      <c r="L18" s="498"/>
      <c r="M18" s="505">
        <f>E23</f>
        <v>1.204</v>
      </c>
    </row>
    <row r="19" spans="1:13">
      <c r="A19" s="36" t="str">
        <f ca="1">IF(inputPrYr!$B23&gt;"  ",inputPrYr!$B23,"  ")</f>
        <v xml:space="preserve">  </v>
      </c>
      <c r="B19" s="123" t="str">
        <f ca="1">IF(levypage8!$C$71&lt;&gt;0,levypage8!$C$71,"  ")</f>
        <v xml:space="preserve">  </v>
      </c>
      <c r="C19" s="622" t="str">
        <f ca="1">IF(inputPrYr!D41&gt;0,inputPrYr!D41,"  ")</f>
        <v xml:space="preserve">  </v>
      </c>
      <c r="D19" s="560" t="str">
        <f ca="1">IF(levypage8!$D$71&lt;&gt;0,levypage8!$D$71,"  ")</f>
        <v xml:space="preserve">  </v>
      </c>
      <c r="E19" s="625" t="str">
        <f ca="1">IF(inputOth!D19&gt;0,inputOth!D19,"  ")</f>
        <v xml:space="preserve">  </v>
      </c>
      <c r="F19" s="560" t="str">
        <f ca="1">IF(levypage8!$E$71&lt;&gt;0,levypage8!$E$71,"  ")</f>
        <v xml:space="preserve">  </v>
      </c>
      <c r="G19" s="243" t="str">
        <f ca="1">IF(levypage8!$E$78&lt;&gt;0,levypage8!$E$78,"  ")</f>
        <v xml:space="preserve">  </v>
      </c>
      <c r="H19" s="622" t="str">
        <f ca="1">IF(levypage8!E78&gt;0,ROUND(G19/$F$27*1000,3)," ")</f>
        <v xml:space="preserve"> </v>
      </c>
      <c r="J19" s="506" t="str">
        <f>CONCATENATE("",I3," Tax Levy Fund Expenditures Must Be")</f>
        <v>2014 Tax Levy Fund Expenditures Must Be</v>
      </c>
      <c r="K19" s="507"/>
      <c r="L19" s="507"/>
      <c r="M19" s="504"/>
    </row>
    <row r="20" spans="1:13">
      <c r="A20" s="36" t="str">
        <f ca="1">IF(inputPrYr!$B26&gt;"  ",inputPrYr!$B26,"  ")</f>
        <v xml:space="preserve">  </v>
      </c>
      <c r="B20" s="123" t="str">
        <f ca="1">IF(nolevypage9!$C$31&lt;&gt;0,nolevypage9!$C$31,"  ")</f>
        <v xml:space="preserve">  </v>
      </c>
      <c r="C20" s="622"/>
      <c r="D20" s="560" t="str">
        <f ca="1">IF(nolevypage9!$D$31&lt;&gt;0,nolevypage9!$D$31,"  ")</f>
        <v xml:space="preserve">  </v>
      </c>
      <c r="E20" s="625"/>
      <c r="F20" s="560" t="str">
        <f ca="1">IF(nolevypage9!$E$31&lt;&gt;0,nolevypage9!$E$31,"  ")</f>
        <v xml:space="preserve">  </v>
      </c>
      <c r="G20" s="243"/>
      <c r="H20" s="622"/>
      <c r="J20" s="506" t="str">
        <f>IF(M20&gt;0,"Increased By:","")</f>
        <v>Increased By:</v>
      </c>
      <c r="K20" s="507"/>
      <c r="L20" s="507"/>
      <c r="M20" s="508">
        <f>IF(M27&lt;0,M27*-1,0)</f>
        <v>16907.510000000009</v>
      </c>
    </row>
    <row r="21" spans="1:13">
      <c r="A21" s="36" t="str">
        <f ca="1">IF(inputPrYr!$B27&gt;"  ",inputPrYr!$B27,"  ")</f>
        <v xml:space="preserve">  </v>
      </c>
      <c r="B21" s="123" t="str">
        <f ca="1">IF(nolevypage9!$C$64&lt;&gt;0,nolevypage9!$C$64,"  ")</f>
        <v xml:space="preserve">  </v>
      </c>
      <c r="C21" s="622"/>
      <c r="D21" s="560" t="str">
        <f ca="1">IF(nolevypage9!$D$64&lt;&gt;0,nolevypage9!$D$64,"  ")</f>
        <v xml:space="preserve">  </v>
      </c>
      <c r="E21" s="625"/>
      <c r="F21" s="560" t="str">
        <f ca="1">IF(nolevypage9!$E$64&lt;&gt;0,nolevypage9!$E$64,"  ")</f>
        <v xml:space="preserve">  </v>
      </c>
      <c r="G21" s="243"/>
      <c r="H21" s="622"/>
      <c r="J21" s="509" t="str">
        <f>IF(M21&lt;0,"Reduced By:","")</f>
        <v/>
      </c>
      <c r="K21" s="471"/>
      <c r="L21" s="471"/>
      <c r="M21" s="510">
        <f>IF(M27&gt;0,M27*-1,0)</f>
        <v>0</v>
      </c>
    </row>
    <row r="22" spans="1:13" ht="16.5" thickBot="1">
      <c r="A22" s="124" t="str">
        <f ca="1">IF((inputPrYr!$B$30&gt;" "),(NonBud!$A$3),"")</f>
        <v/>
      </c>
      <c r="B22" s="485" t="str">
        <f ca="1">IF(NonBud!K28&gt;0,NonBud!K28,"")</f>
        <v/>
      </c>
      <c r="C22" s="623"/>
      <c r="D22" s="621"/>
      <c r="E22" s="626"/>
      <c r="F22" s="621"/>
      <c r="G22" s="628"/>
      <c r="H22" s="623"/>
      <c r="J22" s="511"/>
      <c r="K22" s="511"/>
      <c r="L22" s="511"/>
      <c r="M22" s="511"/>
    </row>
    <row r="23" spans="1:13">
      <c r="A23" s="33" t="s">
        <v>502</v>
      </c>
      <c r="B23" s="619">
        <f>SUM(B16:B22)</f>
        <v>39838.75</v>
      </c>
      <c r="C23" s="624">
        <f t="shared" ref="C23:H23" si="0">SUM(C16:C21)</f>
        <v>0.89700000000000002</v>
      </c>
      <c r="D23" s="619">
        <f t="shared" si="0"/>
        <v>47562</v>
      </c>
      <c r="E23" s="627">
        <f t="shared" si="0"/>
        <v>1.204</v>
      </c>
      <c r="F23" s="619">
        <f t="shared" si="0"/>
        <v>47562</v>
      </c>
      <c r="G23" s="619">
        <f t="shared" si="0"/>
        <v>37325.489999999991</v>
      </c>
      <c r="H23" s="627">
        <f t="shared" si="0"/>
        <v>0.82899999999999996</v>
      </c>
      <c r="J23" s="699" t="str">
        <f>CONCATENATE("Impact On Keeping The Same Mill Rate As For ",I3-1,"")</f>
        <v>Impact On Keeping The Same Mill Rate As For 2013</v>
      </c>
      <c r="K23" s="704"/>
      <c r="L23" s="704"/>
      <c r="M23" s="705"/>
    </row>
    <row r="24" spans="1:13">
      <c r="A24" s="33" t="s">
        <v>536</v>
      </c>
      <c r="B24" s="42">
        <f ca="1">transfers!C26</f>
        <v>0</v>
      </c>
      <c r="C24" s="126"/>
      <c r="D24" s="42">
        <f ca="1">transfers!D26</f>
        <v>0</v>
      </c>
      <c r="E24" s="126"/>
      <c r="F24" s="620">
        <f ca="1">transfers!E26</f>
        <v>0</v>
      </c>
      <c r="G24" s="238"/>
      <c r="H24" s="295"/>
      <c r="J24" s="503"/>
      <c r="K24" s="498"/>
      <c r="L24" s="498"/>
      <c r="M24" s="504"/>
    </row>
    <row r="25" spans="1:13" ht="16.5" thickBot="1">
      <c r="A25" s="33" t="s">
        <v>537</v>
      </c>
      <c r="B25" s="129">
        <f>SUM(B23-B24)</f>
        <v>39838.75</v>
      </c>
      <c r="C25" s="296"/>
      <c r="D25" s="129">
        <f>SUM(D23-D24)</f>
        <v>47562</v>
      </c>
      <c r="E25" s="296"/>
      <c r="F25" s="484">
        <f>SUM(F23-F24)</f>
        <v>47562</v>
      </c>
      <c r="G25" s="238"/>
      <c r="H25" s="295"/>
      <c r="J25" s="503" t="str">
        <f>CONCATENATE("",I3," Ad Valorem Tax Revenue:")</f>
        <v>2014 Ad Valorem Tax Revenue:</v>
      </c>
      <c r="K25" s="498"/>
      <c r="L25" s="498"/>
      <c r="M25" s="499">
        <f>G23</f>
        <v>37325.489999999991</v>
      </c>
    </row>
    <row r="26" spans="1:13" ht="16.5" thickTop="1">
      <c r="A26" s="33" t="s">
        <v>422</v>
      </c>
      <c r="B26" s="619">
        <f ca="1">inputPrYr!E44</f>
        <v>45482</v>
      </c>
      <c r="C26" s="215"/>
      <c r="D26" s="619">
        <f ca="1">inputPrYr!E24</f>
        <v>36193</v>
      </c>
      <c r="E26" s="215"/>
      <c r="F26" s="83" t="s">
        <v>542</v>
      </c>
      <c r="G26" s="18"/>
      <c r="H26" s="18"/>
      <c r="J26" s="503" t="str">
        <f>CONCATENATE("",I3-1," Ad Valorem Tax Revenue:")</f>
        <v>2013 Ad Valorem Tax Revenue:</v>
      </c>
      <c r="K26" s="498"/>
      <c r="L26" s="498"/>
      <c r="M26" s="512">
        <f>ROUND(F27*M18/1000,0)</f>
        <v>54233</v>
      </c>
    </row>
    <row r="27" spans="1:13">
      <c r="A27" s="33" t="s">
        <v>538</v>
      </c>
      <c r="B27" s="42">
        <f ca="1">inputPrYr!E45</f>
        <v>32075459</v>
      </c>
      <c r="C27" s="215"/>
      <c r="D27" s="42">
        <f ca="1">inputOth!E24</f>
        <v>30065504</v>
      </c>
      <c r="E27" s="215"/>
      <c r="F27" s="42">
        <f ca="1">inputOth!E7</f>
        <v>45043731</v>
      </c>
      <c r="G27" s="18"/>
      <c r="H27" s="18"/>
      <c r="J27" s="513" t="s">
        <v>209</v>
      </c>
      <c r="K27" s="514"/>
      <c r="L27" s="514"/>
      <c r="M27" s="502">
        <f>M25-M26</f>
        <v>-16907.510000000009</v>
      </c>
    </row>
    <row r="28" spans="1:13">
      <c r="A28" s="20"/>
      <c r="B28" s="238"/>
      <c r="C28" s="69"/>
      <c r="D28" s="238"/>
      <c r="E28" s="69"/>
      <c r="F28" s="238"/>
      <c r="G28" s="18"/>
      <c r="H28" s="18"/>
      <c r="J28" s="515"/>
      <c r="K28" s="515"/>
      <c r="L28" s="515"/>
      <c r="M28" s="511"/>
    </row>
    <row r="29" spans="1:13">
      <c r="A29" s="17" t="s">
        <v>423</v>
      </c>
      <c r="B29" s="18"/>
      <c r="C29" s="18"/>
      <c r="D29" s="18"/>
      <c r="E29" s="18"/>
      <c r="F29" s="18"/>
      <c r="G29" s="18"/>
      <c r="H29" s="18"/>
      <c r="J29" s="699" t="s">
        <v>210</v>
      </c>
      <c r="K29" s="702"/>
      <c r="L29" s="702"/>
      <c r="M29" s="703"/>
    </row>
    <row r="30" spans="1:13">
      <c r="A30" s="17" t="s">
        <v>535</v>
      </c>
      <c r="B30" s="98">
        <f>I3-3</f>
        <v>2011</v>
      </c>
      <c r="C30" s="18"/>
      <c r="D30" s="98">
        <f>I3-2</f>
        <v>2012</v>
      </c>
      <c r="E30" s="18"/>
      <c r="F30" s="98">
        <f>I3-1</f>
        <v>2013</v>
      </c>
      <c r="G30" s="18"/>
      <c r="H30" s="18"/>
      <c r="J30" s="503"/>
      <c r="K30" s="498"/>
      <c r="L30" s="498"/>
      <c r="M30" s="504"/>
    </row>
    <row r="31" spans="1:13">
      <c r="A31" s="17" t="s">
        <v>424</v>
      </c>
      <c r="B31" s="297">
        <f ca="1">inputPrYr!D48</f>
        <v>0</v>
      </c>
      <c r="C31" s="156"/>
      <c r="D31" s="297">
        <f ca="1">inputPrYr!E48</f>
        <v>0</v>
      </c>
      <c r="E31" s="18"/>
      <c r="F31" s="297">
        <f ca="1">debt!F12</f>
        <v>0</v>
      </c>
      <c r="G31" s="18"/>
      <c r="H31" s="52"/>
      <c r="J31" s="503" t="str">
        <f>CONCATENATE("Current ",I3," Estimated Mill Rate:")</f>
        <v>Current 2014 Estimated Mill Rate:</v>
      </c>
      <c r="K31" s="498"/>
      <c r="L31" s="498"/>
      <c r="M31" s="505">
        <f>H23</f>
        <v>0.82899999999999996</v>
      </c>
    </row>
    <row r="32" spans="1:13">
      <c r="A32" s="18" t="s">
        <v>425</v>
      </c>
      <c r="B32" s="297">
        <f ca="1">inputPrYr!D49</f>
        <v>0</v>
      </c>
      <c r="C32" s="18"/>
      <c r="D32" s="297">
        <f ca="1">inputPrYr!E49</f>
        <v>0</v>
      </c>
      <c r="E32" s="18"/>
      <c r="F32" s="297">
        <f ca="1">debt!F16</f>
        <v>0</v>
      </c>
      <c r="G32" s="18"/>
      <c r="H32" s="52"/>
      <c r="J32" s="503" t="str">
        <f>CONCATENATE("Desired ",I3," Mill Rate:")</f>
        <v>Desired 2014 Mill Rate:</v>
      </c>
      <c r="K32" s="498"/>
      <c r="L32" s="498"/>
      <c r="M32" s="516">
        <v>0</v>
      </c>
    </row>
    <row r="33" spans="1:13">
      <c r="A33" s="17" t="s">
        <v>204</v>
      </c>
      <c r="B33" s="297">
        <f ca="1">inputPrYr!D50</f>
        <v>0</v>
      </c>
      <c r="C33" s="156"/>
      <c r="D33" s="297">
        <f ca="1">inputPrYr!E50</f>
        <v>0</v>
      </c>
      <c r="E33" s="18"/>
      <c r="F33" s="297">
        <f ca="1">debt!F20</f>
        <v>0</v>
      </c>
      <c r="G33" s="18"/>
      <c r="H33" s="52"/>
      <c r="J33" s="503" t="str">
        <f>CONCATENATE("",I3," Ad Valorem Tax:")</f>
        <v>2014 Ad Valorem Tax:</v>
      </c>
      <c r="K33" s="498"/>
      <c r="L33" s="498"/>
      <c r="M33" s="512">
        <f>ROUND(F27*M32/1000,0)</f>
        <v>0</v>
      </c>
    </row>
    <row r="34" spans="1:13">
      <c r="A34" s="17" t="s">
        <v>503</v>
      </c>
      <c r="B34" s="297">
        <f ca="1">inputPrYr!D51</f>
        <v>0</v>
      </c>
      <c r="C34" s="18"/>
      <c r="D34" s="297">
        <f ca="1">inputPrYr!E51</f>
        <v>0</v>
      </c>
      <c r="E34" s="18"/>
      <c r="F34" s="297">
        <f ca="1">debt!G41</f>
        <v>0</v>
      </c>
      <c r="G34" s="18"/>
      <c r="H34" s="52"/>
      <c r="J34" s="513" t="str">
        <f>CONCATENATE("",I3," Tax Levy Fund Exp. Changed By:")</f>
        <v>2014 Tax Levy Fund Exp. Changed By:</v>
      </c>
      <c r="K34" s="514"/>
      <c r="L34" s="514"/>
      <c r="M34" s="502">
        <f>IF(M32=0,0,(M33-G23))</f>
        <v>0</v>
      </c>
    </row>
    <row r="35" spans="1:13" ht="16.5" thickBot="1">
      <c r="A35" s="253" t="s">
        <v>426</v>
      </c>
      <c r="B35" s="298">
        <f>SUM(B31:B34)</f>
        <v>0</v>
      </c>
      <c r="C35" s="18"/>
      <c r="D35" s="298">
        <f>SUM(D31:D34)</f>
        <v>0</v>
      </c>
      <c r="E35" s="18"/>
      <c r="F35" s="298">
        <f>SUM(F31:F34)</f>
        <v>0</v>
      </c>
      <c r="G35" s="299"/>
      <c r="H35" s="52"/>
    </row>
    <row r="36" spans="1:13" ht="16.5" thickTop="1">
      <c r="A36" s="52"/>
      <c r="B36" s="18"/>
      <c r="C36" s="18"/>
      <c r="D36" s="18"/>
      <c r="E36" s="18"/>
      <c r="F36" s="18"/>
      <c r="G36" s="18"/>
      <c r="H36" s="52"/>
    </row>
    <row r="37" spans="1:13">
      <c r="A37" s="253" t="s">
        <v>427</v>
      </c>
      <c r="B37" s="18"/>
      <c r="C37" s="18"/>
      <c r="D37" s="18"/>
      <c r="E37" s="222"/>
      <c r="F37" s="222"/>
      <c r="G37" s="18"/>
      <c r="H37" s="52"/>
    </row>
    <row r="38" spans="1:13">
      <c r="A38" s="52"/>
      <c r="B38" s="18"/>
      <c r="C38" s="18"/>
      <c r="D38" s="18"/>
      <c r="E38" s="18"/>
      <c r="F38" s="18"/>
      <c r="G38" s="18"/>
      <c r="H38" s="52"/>
    </row>
    <row r="39" spans="1:13">
      <c r="A39" s="60"/>
      <c r="B39" s="18"/>
      <c r="C39" s="18"/>
      <c r="D39" s="18"/>
      <c r="E39" s="18"/>
      <c r="F39" s="18"/>
      <c r="G39" s="18"/>
      <c r="H39" s="60"/>
    </row>
    <row r="40" spans="1:13">
      <c r="A40" s="706" t="str">
        <f ca="1">inputBudSum!B3</f>
        <v>Richard Beeley</v>
      </c>
      <c r="B40" s="669"/>
      <c r="C40" s="99"/>
      <c r="D40" s="18"/>
      <c r="E40" s="18"/>
      <c r="F40" s="18"/>
      <c r="G40" s="18"/>
      <c r="H40" s="52"/>
    </row>
    <row r="41" spans="1:13">
      <c r="A41" s="697">
        <f ca="1">inputBudSum!B5</f>
        <v>0</v>
      </c>
      <c r="B41" s="698"/>
      <c r="C41" s="18"/>
      <c r="D41" s="138" t="s">
        <v>412</v>
      </c>
      <c r="E41" s="486"/>
      <c r="F41" s="18"/>
      <c r="G41" s="18"/>
      <c r="H41" s="52"/>
    </row>
    <row r="43" spans="1:13">
      <c r="A43" s="16"/>
      <c r="B43" s="16"/>
      <c r="C43" s="16"/>
      <c r="D43" s="16"/>
      <c r="E43" s="16"/>
      <c r="F43" s="16"/>
      <c r="G43" s="16"/>
      <c r="H43" s="16"/>
    </row>
    <row r="45" spans="1:13">
      <c r="A45" s="16"/>
      <c r="B45" s="16"/>
      <c r="C45" s="16"/>
      <c r="D45" s="16"/>
      <c r="E45" s="16"/>
      <c r="F45" s="16"/>
      <c r="G45" s="16"/>
      <c r="H45" s="16"/>
    </row>
    <row r="46" spans="1:13">
      <c r="A46" s="16"/>
      <c r="B46" s="16"/>
      <c r="C46" s="16"/>
      <c r="D46" s="16"/>
      <c r="E46" s="16"/>
      <c r="F46" s="16"/>
      <c r="G46" s="16"/>
      <c r="H46" s="16"/>
    </row>
    <row r="47" spans="1:13">
      <c r="A47" s="16"/>
      <c r="B47" s="16"/>
      <c r="C47" s="16"/>
      <c r="D47" s="16"/>
      <c r="E47" s="16"/>
      <c r="F47" s="16"/>
      <c r="G47" s="16"/>
      <c r="H47" s="16"/>
    </row>
    <row r="48" spans="1:13">
      <c r="A48" s="16"/>
      <c r="B48" s="16"/>
      <c r="C48" s="16"/>
      <c r="D48" s="16"/>
      <c r="E48" s="16"/>
      <c r="F48" s="16"/>
      <c r="G48" s="16"/>
      <c r="H48" s="16"/>
    </row>
    <row r="49" spans="1:8">
      <c r="A49" s="16"/>
      <c r="B49" s="16"/>
      <c r="C49" s="16"/>
      <c r="D49" s="16"/>
      <c r="E49" s="16"/>
      <c r="F49" s="16"/>
      <c r="G49" s="16"/>
      <c r="H49" s="16"/>
    </row>
    <row r="50" spans="1:8">
      <c r="A50" s="16"/>
      <c r="B50" s="16"/>
      <c r="C50" s="16"/>
      <c r="D50" s="16"/>
      <c r="E50" s="16"/>
      <c r="F50" s="16"/>
      <c r="G50" s="16"/>
      <c r="H50" s="16"/>
    </row>
    <row r="51" spans="1:8">
      <c r="A51" s="16"/>
      <c r="B51" s="16"/>
      <c r="C51" s="16"/>
      <c r="D51" s="16"/>
      <c r="E51" s="16"/>
      <c r="F51" s="16"/>
      <c r="G51" s="16"/>
      <c r="H51" s="16"/>
    </row>
    <row r="52" spans="1:8">
      <c r="A52" s="16"/>
      <c r="B52" s="16"/>
      <c r="C52" s="16"/>
      <c r="D52" s="16"/>
      <c r="E52" s="16"/>
      <c r="F52" s="16"/>
      <c r="G52" s="16"/>
      <c r="H52" s="16"/>
    </row>
    <row r="53" spans="1:8">
      <c r="A53" s="16"/>
      <c r="B53" s="16"/>
      <c r="C53" s="16"/>
      <c r="D53" s="16"/>
      <c r="E53" s="16"/>
      <c r="F53" s="16"/>
      <c r="G53" s="16"/>
      <c r="H53" s="16"/>
    </row>
  </sheetData>
  <sheetProtection sheet="1"/>
  <mergeCells count="12">
    <mergeCell ref="A1:H1"/>
    <mergeCell ref="G14:G15"/>
    <mergeCell ref="A3:H3"/>
    <mergeCell ref="A4:H4"/>
    <mergeCell ref="A5:H5"/>
    <mergeCell ref="A41:B41"/>
    <mergeCell ref="J12:M12"/>
    <mergeCell ref="J16:M16"/>
    <mergeCell ref="J23:M23"/>
    <mergeCell ref="J29:M29"/>
    <mergeCell ref="A6:H6"/>
    <mergeCell ref="A40:B40"/>
  </mergeCells>
  <phoneticPr fontId="0" type="noConversion"/>
  <pageMargins left="1" right="1" top="0.5" bottom="0.5" header="0.5" footer="0.5"/>
  <pageSetup scale="64" orientation="portrait" blackAndWhite="1" horizontalDpi="120" verticalDpi="144" r:id="rId1"/>
  <headerFooter alignWithMargins="0">
    <oddHeader xml:space="preserve">&amp;RState of Kansas
Special District
</oddHeader>
  </headerFooter>
</worksheet>
</file>

<file path=xl/worksheets/sheet18.xml><?xml version="1.0" encoding="utf-8"?>
<worksheet xmlns="http://schemas.openxmlformats.org/spreadsheetml/2006/main" xmlns:r="http://schemas.openxmlformats.org/officeDocument/2006/relationships">
  <sheetPr>
    <pageSetUpPr fitToPage="1"/>
  </sheetPr>
  <dimension ref="A1:F35"/>
  <sheetViews>
    <sheetView topLeftCell="A4" workbookViewId="0">
      <selection activeCell="C7" sqref="C7"/>
    </sheetView>
  </sheetViews>
  <sheetFormatPr defaultRowHeight="15"/>
  <cols>
    <col min="1" max="1" width="12.6640625" style="61" customWidth="1"/>
    <col min="2" max="2" width="18.109375" style="61" customWidth="1"/>
    <col min="3" max="5" width="11.77734375" style="61" customWidth="1"/>
    <col min="6" max="16384" width="8.88671875" style="61"/>
  </cols>
  <sheetData>
    <row r="1" spans="1:6" ht="15.75">
      <c r="A1" s="300" t="str">
        <f ca="1">inputPrYr!D3</f>
        <v>Crowm Hill Cemetery</v>
      </c>
      <c r="B1" s="52"/>
      <c r="C1" s="52"/>
      <c r="D1" s="52"/>
      <c r="E1" s="52"/>
      <c r="F1" s="52">
        <f ca="1">inputPrYr!D6</f>
        <v>2014</v>
      </c>
    </row>
    <row r="2" spans="1:6" ht="15.75">
      <c r="A2" s="300"/>
      <c r="B2" s="52"/>
      <c r="C2" s="52"/>
      <c r="D2" s="52"/>
      <c r="E2" s="52"/>
      <c r="F2" s="52"/>
    </row>
    <row r="3" spans="1:6" ht="15.75">
      <c r="A3" s="52"/>
      <c r="B3" s="52"/>
      <c r="C3" s="52"/>
      <c r="D3" s="52"/>
      <c r="E3" s="52"/>
      <c r="F3" s="52"/>
    </row>
    <row r="4" spans="1:6" ht="15.75">
      <c r="A4" s="18"/>
      <c r="B4" s="660" t="str">
        <f>CONCATENATE("",F1," Neighborhood Revitalization Rebate")</f>
        <v>2014 Neighborhood Revitalization Rebate</v>
      </c>
      <c r="C4" s="713"/>
      <c r="D4" s="713"/>
      <c r="E4" s="707"/>
      <c r="F4" s="52"/>
    </row>
    <row r="5" spans="1:6" ht="15.75">
      <c r="A5" s="18"/>
      <c r="B5" s="18"/>
      <c r="C5" s="18"/>
      <c r="D5" s="18"/>
      <c r="E5" s="18"/>
      <c r="F5" s="52"/>
    </row>
    <row r="6" spans="1:6" ht="51.75" customHeight="1">
      <c r="A6" s="18"/>
      <c r="B6" s="158" t="str">
        <f>CONCATENATE("Budgeted Funds                                 for ",F1,"")</f>
        <v>Budgeted Funds                                 for 2014</v>
      </c>
      <c r="C6" s="158" t="str">
        <f>CONCATENATE("",F1-1," Ad Valorem before Rebate**")</f>
        <v>2013 Ad Valorem before Rebate**</v>
      </c>
      <c r="D6" s="301" t="str">
        <f>CONCATENATE("",F1-1," Mil Rate before Rebate")</f>
        <v>2013 Mil Rate before Rebate</v>
      </c>
      <c r="E6" s="302" t="str">
        <f>CONCATENATE("Estimate ",F1," NR Rebate")</f>
        <v>Estimate 2014 NR Rebate</v>
      </c>
      <c r="F6" s="52"/>
    </row>
    <row r="7" spans="1:6" ht="15.75">
      <c r="A7" s="18"/>
      <c r="B7" s="303" t="str">
        <f ca="1">inputPrYr!B19</f>
        <v>General</v>
      </c>
      <c r="C7" s="304"/>
      <c r="D7" s="305" t="str">
        <f t="shared" ref="D7:D12" si="0">IF(C7&gt;0,C7/$D$18,"")</f>
        <v/>
      </c>
      <c r="E7" s="120" t="str">
        <f t="shared" ref="E7:E12" si="1">IF(C7&gt;0,ROUND(D7*$D$22,0),"")</f>
        <v/>
      </c>
      <c r="F7" s="52"/>
    </row>
    <row r="8" spans="1:6" ht="15.75">
      <c r="A8" s="18"/>
      <c r="B8" s="303" t="str">
        <f ca="1">inputPrYr!B20</f>
        <v>Debt Service</v>
      </c>
      <c r="C8" s="304"/>
      <c r="D8" s="305" t="str">
        <f t="shared" si="0"/>
        <v/>
      </c>
      <c r="E8" s="120" t="str">
        <f t="shared" si="1"/>
        <v/>
      </c>
      <c r="F8" s="52"/>
    </row>
    <row r="9" spans="1:6" ht="15.75">
      <c r="A9" s="18"/>
      <c r="B9" s="123" t="str">
        <f ca="1">IF(inputPrYr!$B22&gt;"  ",(inputPrYr!$B22),"  ")</f>
        <v xml:space="preserve">  </v>
      </c>
      <c r="C9" s="304"/>
      <c r="D9" s="305" t="str">
        <f t="shared" si="0"/>
        <v/>
      </c>
      <c r="E9" s="120" t="str">
        <f t="shared" si="1"/>
        <v/>
      </c>
      <c r="F9" s="52"/>
    </row>
    <row r="10" spans="1:6" ht="15.75">
      <c r="A10" s="18"/>
      <c r="B10" s="123" t="str">
        <f ca="1">IF(inputPrYr!$B23&gt;"  ",(inputPrYr!$B23),"  ")</f>
        <v xml:space="preserve">  </v>
      </c>
      <c r="C10" s="304"/>
      <c r="D10" s="305" t="str">
        <f t="shared" si="0"/>
        <v/>
      </c>
      <c r="E10" s="120" t="str">
        <f t="shared" si="1"/>
        <v/>
      </c>
      <c r="F10" s="52"/>
    </row>
    <row r="11" spans="1:6" ht="15.75">
      <c r="A11" s="18"/>
      <c r="B11" s="123"/>
      <c r="C11" s="304"/>
      <c r="D11" s="305" t="str">
        <f t="shared" si="0"/>
        <v/>
      </c>
      <c r="E11" s="120" t="str">
        <f t="shared" si="1"/>
        <v/>
      </c>
      <c r="F11" s="52"/>
    </row>
    <row r="12" spans="1:6" ht="15.75">
      <c r="A12" s="18"/>
      <c r="B12" s="123"/>
      <c r="C12" s="304"/>
      <c r="D12" s="305" t="str">
        <f t="shared" si="0"/>
        <v/>
      </c>
      <c r="E12" s="120" t="str">
        <f t="shared" si="1"/>
        <v/>
      </c>
      <c r="F12" s="52"/>
    </row>
    <row r="13" spans="1:6" ht="16.5" thickBot="1">
      <c r="A13" s="18"/>
      <c r="B13" s="36" t="s">
        <v>578</v>
      </c>
      <c r="C13" s="306">
        <f>SUM(C7:C12)</f>
        <v>0</v>
      </c>
      <c r="D13" s="307">
        <f>SUM(D7:D12)</f>
        <v>0</v>
      </c>
      <c r="E13" s="306">
        <f>SUM(E7:E12)</f>
        <v>0</v>
      </c>
      <c r="F13" s="52"/>
    </row>
    <row r="14" spans="1:6" ht="16.5" thickTop="1">
      <c r="A14" s="18"/>
      <c r="B14" s="18"/>
      <c r="C14" s="18"/>
      <c r="D14" s="18"/>
      <c r="E14" s="18"/>
      <c r="F14" s="52"/>
    </row>
    <row r="15" spans="1:6" ht="15.75">
      <c r="A15" s="18"/>
      <c r="B15" s="18"/>
      <c r="C15" s="18"/>
      <c r="D15" s="18"/>
      <c r="E15" s="18"/>
      <c r="F15" s="52"/>
    </row>
    <row r="16" spans="1:6" ht="15.75">
      <c r="A16" s="714" t="str">
        <f>CONCATENATE("",F1-1," July 1 Valuation:")</f>
        <v>2013 July 1 Valuation:</v>
      </c>
      <c r="B16" s="712"/>
      <c r="C16" s="714"/>
      <c r="D16" s="308">
        <f ca="1">inputOth!E7</f>
        <v>45043731</v>
      </c>
      <c r="E16" s="18"/>
      <c r="F16" s="52"/>
    </row>
    <row r="17" spans="1:6" ht="15.75">
      <c r="A17" s="18"/>
      <c r="B17" s="18"/>
      <c r="C17" s="18"/>
      <c r="D17" s="18"/>
      <c r="E17" s="18"/>
      <c r="F17" s="52"/>
    </row>
    <row r="18" spans="1:6" ht="15.75">
      <c r="A18" s="18"/>
      <c r="B18" s="714" t="s">
        <v>686</v>
      </c>
      <c r="C18" s="714"/>
      <c r="D18" s="309">
        <f>IF(D16&gt;0,(D16*0.001),"")</f>
        <v>45043.731</v>
      </c>
      <c r="E18" s="18"/>
      <c r="F18" s="52"/>
    </row>
    <row r="19" spans="1:6" ht="15.75">
      <c r="A19" s="18"/>
      <c r="B19" s="138"/>
      <c r="C19" s="138"/>
      <c r="D19" s="310"/>
      <c r="E19" s="18"/>
      <c r="F19" s="52"/>
    </row>
    <row r="20" spans="1:6" ht="15.75">
      <c r="A20" s="711" t="s">
        <v>684</v>
      </c>
      <c r="B20" s="707"/>
      <c r="C20" s="707"/>
      <c r="D20" s="311" t="str">
        <f ca="1">inputOth!E12</f>
        <v>195,91</v>
      </c>
      <c r="E20" s="62"/>
      <c r="F20" s="62"/>
    </row>
    <row r="21" spans="1:6">
      <c r="A21" s="62"/>
      <c r="B21" s="62"/>
      <c r="C21" s="62"/>
      <c r="D21" s="312"/>
      <c r="E21" s="62"/>
      <c r="F21" s="62"/>
    </row>
    <row r="22" spans="1:6" ht="15.75">
      <c r="A22" s="62"/>
      <c r="B22" s="711" t="s">
        <v>685</v>
      </c>
      <c r="C22" s="712"/>
      <c r="D22" s="313" t="e">
        <f>IF(D20&gt;0,(D20*0.001),"")</f>
        <v>#VALUE!</v>
      </c>
      <c r="E22" s="62"/>
      <c r="F22" s="62"/>
    </row>
    <row r="23" spans="1:6">
      <c r="A23" s="62"/>
      <c r="B23" s="62"/>
      <c r="C23" s="62"/>
      <c r="D23" s="62"/>
      <c r="E23" s="62"/>
      <c r="F23" s="62"/>
    </row>
    <row r="24" spans="1:6">
      <c r="A24" s="62"/>
      <c r="B24" s="62"/>
      <c r="C24" s="62"/>
      <c r="D24" s="62"/>
      <c r="E24" s="62"/>
      <c r="F24" s="62"/>
    </row>
    <row r="25" spans="1:6">
      <c r="A25" s="62"/>
      <c r="B25" s="62"/>
      <c r="C25" s="62"/>
      <c r="D25" s="62"/>
      <c r="E25" s="62"/>
      <c r="F25" s="62"/>
    </row>
    <row r="26" spans="1:6" ht="15.75">
      <c r="A26" s="362" t="str">
        <f>CONCATENATE("**This information comes from the ",F1," Budget Summary page.  See instructions tab #12 for completing")</f>
        <v>**This information comes from the 2014 Budget Summary page.  See instructions tab #12 for completing</v>
      </c>
      <c r="B26" s="62"/>
      <c r="C26" s="62"/>
      <c r="D26" s="62"/>
      <c r="E26" s="62"/>
      <c r="F26" s="62"/>
    </row>
    <row r="27" spans="1:6" ht="15.75">
      <c r="A27" s="362" t="s">
        <v>89</v>
      </c>
      <c r="B27" s="62"/>
      <c r="C27" s="62"/>
      <c r="D27" s="62"/>
      <c r="E27" s="62"/>
      <c r="F27" s="62"/>
    </row>
    <row r="28" spans="1:6" ht="15.75">
      <c r="A28" s="362"/>
      <c r="B28" s="62"/>
      <c r="C28" s="62"/>
      <c r="D28" s="62"/>
      <c r="E28" s="62"/>
      <c r="F28" s="62"/>
    </row>
    <row r="29" spans="1:6" ht="15.75">
      <c r="A29" s="362"/>
      <c r="B29" s="62"/>
      <c r="C29" s="62"/>
      <c r="D29" s="62"/>
      <c r="E29" s="62"/>
      <c r="F29" s="62"/>
    </row>
    <row r="30" spans="1:6" ht="15.75">
      <c r="A30" s="362"/>
      <c r="B30" s="62"/>
      <c r="C30" s="62"/>
      <c r="D30" s="62"/>
      <c r="E30" s="62"/>
      <c r="F30" s="62"/>
    </row>
    <row r="31" spans="1:6" ht="15.75">
      <c r="A31" s="362"/>
      <c r="B31" s="62"/>
      <c r="C31" s="62"/>
      <c r="D31" s="62"/>
      <c r="E31" s="62"/>
      <c r="F31" s="62"/>
    </row>
    <row r="32" spans="1:6" ht="15.75">
      <c r="A32" s="362"/>
      <c r="B32" s="62"/>
      <c r="C32" s="62"/>
      <c r="D32" s="62"/>
      <c r="E32" s="62"/>
      <c r="F32" s="62"/>
    </row>
    <row r="33" spans="1:6" ht="15.75">
      <c r="A33" s="362"/>
      <c r="B33" s="62"/>
      <c r="C33" s="62"/>
      <c r="D33" s="62"/>
      <c r="E33" s="62"/>
      <c r="F33" s="62"/>
    </row>
    <row r="34" spans="1:6">
      <c r="A34" s="62"/>
      <c r="B34" s="62"/>
      <c r="C34" s="62"/>
      <c r="D34" s="62"/>
      <c r="E34" s="62"/>
      <c r="F34" s="62"/>
    </row>
    <row r="35" spans="1:6" ht="15.75">
      <c r="A35" s="62"/>
      <c r="B35" s="287" t="s">
        <v>412</v>
      </c>
      <c r="C35" s="252"/>
      <c r="D35" s="62"/>
      <c r="E35" s="62"/>
      <c r="F35" s="62"/>
    </row>
  </sheetData>
  <sheetProtection sheet="1"/>
  <mergeCells count="5">
    <mergeCell ref="B22:C22"/>
    <mergeCell ref="B4:E4"/>
    <mergeCell ref="A16:C16"/>
    <mergeCell ref="B18:C18"/>
    <mergeCell ref="A20:C20"/>
  </mergeCells>
  <phoneticPr fontId="15" type="noConversion"/>
  <pageMargins left="0.75" right="0.75" top="1" bottom="1" header="0.5" footer="0.5"/>
  <pageSetup scale="89" orientation="portrait" blackAndWhite="1" r:id="rId1"/>
  <headerFooter alignWithMargins="0">
    <oddHeader>&amp;RState of Kansas
Special District</oddHeader>
  </headerFooter>
</worksheet>
</file>

<file path=xl/worksheets/sheet19.xml><?xml version="1.0" encoding="utf-8"?>
<worksheet xmlns="http://schemas.openxmlformats.org/spreadsheetml/2006/main" xmlns:r="http://schemas.openxmlformats.org/officeDocument/2006/relationships">
  <sheetPr>
    <pageSetUpPr fitToPage="1"/>
  </sheetPr>
  <dimension ref="B1:J53"/>
  <sheetViews>
    <sheetView workbookViewId="0">
      <selection activeCell="B10" sqref="B10"/>
    </sheetView>
  </sheetViews>
  <sheetFormatPr defaultColWidth="9.77734375" defaultRowHeight="15.75"/>
  <cols>
    <col min="1" max="1" width="8.88671875" style="2" customWidth="1"/>
    <col min="2" max="16384" width="9.77734375" style="2"/>
  </cols>
  <sheetData>
    <row r="1" spans="2:10">
      <c r="B1" s="723" t="s">
        <v>508</v>
      </c>
      <c r="C1" s="723"/>
      <c r="D1" s="723"/>
      <c r="E1" s="723"/>
      <c r="F1" s="723"/>
      <c r="G1" s="723"/>
      <c r="H1" s="723"/>
    </row>
    <row r="2" spans="2:10">
      <c r="B2" s="6"/>
      <c r="C2"/>
      <c r="D2"/>
      <c r="E2"/>
      <c r="F2"/>
      <c r="G2"/>
      <c r="H2"/>
    </row>
    <row r="3" spans="2:10">
      <c r="B3" s="724" t="s">
        <v>505</v>
      </c>
      <c r="C3" s="724"/>
      <c r="D3" s="724"/>
      <c r="E3" s="724"/>
      <c r="F3" s="724"/>
      <c r="G3" s="724"/>
      <c r="H3" s="724"/>
    </row>
    <row r="4" spans="2:10">
      <c r="B4" s="7"/>
      <c r="C4"/>
      <c r="D4"/>
      <c r="E4"/>
      <c r="F4"/>
      <c r="G4"/>
      <c r="H4"/>
    </row>
    <row r="5" spans="2:10">
      <c r="B5" s="716" t="str">
        <f ca="1">CONCATENATE("A resolution expressing the property taxation policy of the Board of ",(inputPrYr!D3)," District with respect to financing the ",inputPrYr!D6," annual budget for ", (inputPrYr!D3)," , ",(inputPrYr!D4)," , Kansas.")</f>
        <v>A resolution expressing the property taxation policy of the Board of Crowm Hill Cemetery District with respect to financing the 2014 annual budget for Crowm Hill Cemetery , Comanche County  , Kansas.</v>
      </c>
      <c r="C5" s="717"/>
      <c r="D5" s="717"/>
      <c r="E5" s="717"/>
      <c r="F5" s="717"/>
      <c r="G5" s="717"/>
      <c r="H5" s="717"/>
    </row>
    <row r="6" spans="2:10">
      <c r="B6" s="717"/>
      <c r="C6" s="717"/>
      <c r="D6" s="717"/>
      <c r="E6" s="717"/>
      <c r="F6" s="717"/>
      <c r="G6" s="717"/>
      <c r="H6" s="717"/>
      <c r="J6" s="2" t="str">
        <f>CONCATENATE(J7)</f>
        <v/>
      </c>
    </row>
    <row r="7" spans="2:10">
      <c r="B7" s="11"/>
      <c r="C7"/>
      <c r="D7"/>
      <c r="E7"/>
      <c r="F7"/>
      <c r="G7"/>
      <c r="H7"/>
    </row>
    <row r="8" spans="2:10">
      <c r="B8" s="12" t="s">
        <v>543</v>
      </c>
      <c r="C8"/>
      <c r="D8"/>
      <c r="E8"/>
      <c r="F8"/>
      <c r="G8"/>
      <c r="H8"/>
    </row>
    <row r="9" spans="2:10">
      <c r="B9" s="12" t="str">
        <f ca="1">CONCATENATE("",inputPrYr!D6," ",(inputPrYr!D3), " district budget exceed the amount levied to finance the")</f>
        <v>2014 Crowm Hill Cemetery district budget exceed the amount levied to finance the</v>
      </c>
      <c r="C9"/>
      <c r="D9"/>
      <c r="E9"/>
      <c r="F9"/>
      <c r="G9"/>
      <c r="H9"/>
    </row>
    <row r="10" spans="2:10">
      <c r="B10" s="12" t="str">
        <f ca="1">CONCATENATE("",inputPrYr!D6-1," ",inputPrYr!D3," except with regard to revenue produced and attributable to the")</f>
        <v>2013 Crowm Hill Cemetery except with regard to revenue produced and attributable to the</v>
      </c>
      <c r="C10"/>
      <c r="D10"/>
      <c r="E10"/>
      <c r="F10"/>
      <c r="G10"/>
      <c r="H10"/>
    </row>
    <row r="11" spans="2:10">
      <c r="B11" s="720" t="s">
        <v>544</v>
      </c>
      <c r="C11" s="725"/>
      <c r="D11" s="725"/>
      <c r="E11" s="725"/>
      <c r="F11" s="725"/>
      <c r="G11" s="725"/>
      <c r="H11" s="725"/>
    </row>
    <row r="12" spans="2:10">
      <c r="B12" s="725"/>
      <c r="C12" s="725"/>
      <c r="D12" s="725"/>
      <c r="E12" s="725"/>
      <c r="F12" s="725"/>
      <c r="G12" s="725"/>
      <c r="H12" s="725"/>
    </row>
    <row r="13" spans="2:10">
      <c r="B13" s="725"/>
      <c r="C13" s="725"/>
      <c r="D13" s="725"/>
      <c r="E13" s="725"/>
      <c r="F13" s="725"/>
      <c r="G13" s="725"/>
      <c r="H13" s="725"/>
    </row>
    <row r="14" spans="2:10">
      <c r="B14" s="725"/>
      <c r="C14" s="725"/>
      <c r="D14" s="725"/>
      <c r="E14" s="725"/>
      <c r="F14" s="725"/>
      <c r="G14" s="725"/>
      <c r="H14" s="725"/>
    </row>
    <row r="15" spans="2:10">
      <c r="B15" s="1"/>
      <c r="C15" s="1"/>
      <c r="D15" s="1"/>
      <c r="E15" s="1"/>
      <c r="F15" s="1"/>
      <c r="G15" s="1"/>
      <c r="H15" s="1"/>
    </row>
    <row r="16" spans="2:10">
      <c r="B16" s="718" t="s">
        <v>517</v>
      </c>
      <c r="C16" s="719"/>
      <c r="D16" s="719"/>
      <c r="E16" s="719"/>
      <c r="F16" s="719"/>
      <c r="G16" s="719"/>
      <c r="H16" s="719"/>
    </row>
    <row r="17" spans="2:8">
      <c r="B17" s="719"/>
      <c r="C17" s="719"/>
      <c r="D17" s="719"/>
      <c r="E17" s="719"/>
      <c r="F17" s="719"/>
      <c r="G17" s="719"/>
      <c r="H17" s="719"/>
    </row>
    <row r="18" spans="2:8">
      <c r="B18" s="12"/>
      <c r="C18"/>
      <c r="D18"/>
      <c r="E18"/>
      <c r="F18"/>
      <c r="G18"/>
      <c r="H18"/>
    </row>
    <row r="19" spans="2:8">
      <c r="B19" s="12" t="str">
        <f ca="1">CONCATENATE("Whereas, ",(inputPrYr!D3)," provides essential services to district residents; and")</f>
        <v>Whereas, Crowm Hill Cemetery provides essential services to district residents; and</v>
      </c>
      <c r="C19"/>
      <c r="D19"/>
      <c r="E19"/>
      <c r="F19"/>
      <c r="G19"/>
      <c r="H19"/>
    </row>
    <row r="20" spans="2:8">
      <c r="B20" s="12"/>
      <c r="C20"/>
      <c r="D20"/>
      <c r="E20"/>
      <c r="F20"/>
      <c r="G20"/>
      <c r="H20"/>
    </row>
    <row r="21" spans="2:8">
      <c r="B21" s="12" t="s">
        <v>518</v>
      </c>
      <c r="C21"/>
      <c r="D21"/>
      <c r="E21"/>
      <c r="F21"/>
      <c r="G21"/>
      <c r="H21"/>
    </row>
    <row r="22" spans="2:8">
      <c r="B22" s="12"/>
      <c r="C22"/>
      <c r="D22"/>
      <c r="E22"/>
      <c r="F22"/>
      <c r="G22"/>
      <c r="H22"/>
    </row>
    <row r="23" spans="2:8">
      <c r="B23" s="720" t="str">
        <f ca="1">CONCATENATE("NOW, THEREFORE, BE IT RESOLVED by the Board of the ",(inputPrYr!D3)," that is our desire to notify the public of the possibility of increased property taxes to finance the ",inputPrYr!D6," ",(inputPrYr!D3), "  budget as defined above.")</f>
        <v>NOW, THEREFORE, BE IT RESOLVED by the Board of the Crowm Hill Cemetery that is our desire to notify the public of the possibility of increased property taxes to finance the 2014 Crowm Hill Cemetery  budget as defined above.</v>
      </c>
      <c r="C23" s="721"/>
      <c r="D23" s="721"/>
      <c r="E23" s="721"/>
      <c r="F23" s="721"/>
      <c r="G23" s="721"/>
      <c r="H23" s="721"/>
    </row>
    <row r="24" spans="2:8">
      <c r="B24" s="721"/>
      <c r="C24" s="721"/>
      <c r="D24" s="721"/>
      <c r="E24" s="721"/>
      <c r="F24" s="721"/>
      <c r="G24" s="721"/>
      <c r="H24" s="721"/>
    </row>
    <row r="25" spans="2:8">
      <c r="B25" s="721"/>
      <c r="C25" s="721"/>
      <c r="D25" s="721"/>
      <c r="E25" s="721"/>
      <c r="F25" s="721"/>
      <c r="G25" s="721"/>
      <c r="H25" s="721"/>
    </row>
    <row r="26" spans="2:8">
      <c r="B26" s="12"/>
      <c r="C26"/>
      <c r="D26"/>
      <c r="E26"/>
      <c r="F26"/>
      <c r="G26"/>
      <c r="H26"/>
    </row>
    <row r="27" spans="2:8">
      <c r="B27" s="718" t="str">
        <f ca="1">CONCATENATE("Adopted this _________ day of ___________, ",inputPrYr!D6-1," by the ",(inputPrYr!D3)," District Board, ",(inputPrYr!D4),", Kansas.")</f>
        <v>Adopted this _________ day of ___________, 2013 by the Crowm Hill Cemetery District Board, Comanche County , Kansas.</v>
      </c>
      <c r="C27" s="717"/>
      <c r="D27" s="717"/>
      <c r="E27" s="717"/>
      <c r="F27" s="717"/>
      <c r="G27" s="717"/>
      <c r="H27" s="717"/>
    </row>
    <row r="28" spans="2:8">
      <c r="B28" s="717"/>
      <c r="C28" s="717"/>
      <c r="D28" s="717"/>
      <c r="E28" s="717"/>
      <c r="F28" s="717"/>
      <c r="G28" s="717"/>
      <c r="H28" s="717"/>
    </row>
    <row r="29" spans="2:8">
      <c r="B29" s="8"/>
      <c r="C29"/>
      <c r="D29"/>
      <c r="E29"/>
      <c r="F29"/>
      <c r="G29"/>
      <c r="H29"/>
    </row>
    <row r="30" spans="2:8">
      <c r="B30" s="8"/>
      <c r="C30"/>
      <c r="D30"/>
      <c r="E30"/>
      <c r="F30"/>
      <c r="G30"/>
      <c r="H30"/>
    </row>
    <row r="31" spans="2:8">
      <c r="B31" s="9" t="str">
        <f ca="1">CONCATENATE(" ",(inputPrYr!D3)," District Board")</f>
        <v xml:space="preserve"> Crowm Hill Cemetery District Board</v>
      </c>
      <c r="C31"/>
      <c r="D31"/>
      <c r="E31"/>
      <c r="F31"/>
      <c r="G31"/>
      <c r="H31"/>
    </row>
    <row r="32" spans="2:8">
      <c r="B32" s="8"/>
      <c r="C32"/>
      <c r="D32"/>
      <c r="E32"/>
      <c r="F32"/>
      <c r="G32"/>
      <c r="H32"/>
    </row>
    <row r="33" spans="2:8">
      <c r="B33"/>
      <c r="C33"/>
      <c r="D33"/>
      <c r="E33" s="722" t="s">
        <v>506</v>
      </c>
      <c r="F33" s="722"/>
      <c r="G33" s="722"/>
      <c r="H33" s="722"/>
    </row>
    <row r="34" spans="2:8">
      <c r="B34"/>
      <c r="C34"/>
      <c r="D34"/>
      <c r="E34" s="722" t="s">
        <v>509</v>
      </c>
      <c r="F34" s="722"/>
      <c r="G34" s="722"/>
      <c r="H34" s="722"/>
    </row>
    <row r="35" spans="2:8">
      <c r="B35" s="8"/>
      <c r="C35"/>
      <c r="D35"/>
      <c r="E35" s="722"/>
      <c r="F35" s="722"/>
      <c r="G35" s="722"/>
      <c r="H35" s="722"/>
    </row>
    <row r="36" spans="2:8">
      <c r="B36"/>
      <c r="C36"/>
      <c r="D36"/>
      <c r="E36" s="722" t="s">
        <v>506</v>
      </c>
      <c r="F36" s="722"/>
      <c r="G36" s="722"/>
      <c r="H36" s="722"/>
    </row>
    <row r="37" spans="2:8">
      <c r="B37"/>
      <c r="C37"/>
      <c r="D37"/>
      <c r="E37" s="722" t="s">
        <v>510</v>
      </c>
      <c r="F37" s="722"/>
      <c r="G37" s="722"/>
      <c r="H37" s="722"/>
    </row>
    <row r="38" spans="2:8">
      <c r="B38" s="8"/>
      <c r="C38"/>
      <c r="D38"/>
      <c r="E38" s="722"/>
      <c r="F38" s="722"/>
      <c r="G38" s="722"/>
      <c r="H38" s="722"/>
    </row>
    <row r="39" spans="2:8">
      <c r="B39"/>
      <c r="C39"/>
      <c r="D39"/>
      <c r="E39" s="722" t="s">
        <v>506</v>
      </c>
      <c r="F39" s="722"/>
      <c r="G39" s="722"/>
      <c r="H39" s="722"/>
    </row>
    <row r="40" spans="2:8">
      <c r="B40"/>
      <c r="C40"/>
      <c r="D40"/>
      <c r="E40" s="722" t="s">
        <v>511</v>
      </c>
      <c r="F40" s="722"/>
      <c r="G40" s="722"/>
      <c r="H40" s="722"/>
    </row>
    <row r="41" spans="2:8">
      <c r="B41" s="8"/>
      <c r="C41"/>
      <c r="D41"/>
      <c r="E41"/>
      <c r="F41"/>
      <c r="G41"/>
      <c r="H41"/>
    </row>
    <row r="42" spans="2:8">
      <c r="B42" s="10"/>
      <c r="C42"/>
      <c r="D42"/>
      <c r="E42"/>
      <c r="F42"/>
      <c r="G42"/>
      <c r="H42"/>
    </row>
    <row r="43" spans="2:8">
      <c r="C43"/>
      <c r="D43"/>
      <c r="E43"/>
      <c r="F43"/>
      <c r="G43"/>
      <c r="H43"/>
    </row>
    <row r="44" spans="2:8">
      <c r="B44" s="4"/>
      <c r="E44" s="13"/>
      <c r="F44" s="13"/>
      <c r="G44" s="13"/>
      <c r="H44" s="13"/>
    </row>
    <row r="45" spans="2:8">
      <c r="D45" s="14" t="s">
        <v>412</v>
      </c>
      <c r="E45" s="15"/>
      <c r="F45" s="13"/>
      <c r="G45" s="13"/>
      <c r="H45" s="13"/>
    </row>
    <row r="46" spans="2:8">
      <c r="B46" s="10" t="s">
        <v>507</v>
      </c>
      <c r="E46" s="715"/>
      <c r="F46" s="715"/>
      <c r="G46" s="715"/>
      <c r="H46" s="715"/>
    </row>
    <row r="47" spans="2:8">
      <c r="B47" s="3"/>
      <c r="E47" s="715"/>
      <c r="F47" s="715"/>
      <c r="G47" s="715"/>
      <c r="H47" s="715"/>
    </row>
    <row r="48" spans="2:8">
      <c r="E48" s="715"/>
      <c r="F48" s="715"/>
      <c r="G48" s="715"/>
      <c r="H48" s="715"/>
    </row>
    <row r="49" spans="2:8">
      <c r="E49" s="715"/>
      <c r="F49" s="715"/>
      <c r="G49" s="715"/>
      <c r="H49" s="715"/>
    </row>
    <row r="50" spans="2:8">
      <c r="B50" s="3"/>
      <c r="E50" s="715"/>
      <c r="F50" s="715"/>
      <c r="G50" s="715"/>
      <c r="H50" s="715"/>
    </row>
    <row r="51" spans="2:8">
      <c r="B51" s="5"/>
    </row>
    <row r="52" spans="2:8">
      <c r="B52" s="5"/>
    </row>
    <row r="53" spans="2:8">
      <c r="B53" s="5"/>
    </row>
  </sheetData>
  <mergeCells count="20">
    <mergeCell ref="B1:H1"/>
    <mergeCell ref="B3:H3"/>
    <mergeCell ref="B11:H14"/>
    <mergeCell ref="E39:H39"/>
    <mergeCell ref="E33:H33"/>
    <mergeCell ref="E34:H34"/>
    <mergeCell ref="E35:H35"/>
    <mergeCell ref="E36:H36"/>
    <mergeCell ref="E37:H37"/>
    <mergeCell ref="E38:H38"/>
    <mergeCell ref="E47:H47"/>
    <mergeCell ref="B5:H6"/>
    <mergeCell ref="E50:H50"/>
    <mergeCell ref="E46:H46"/>
    <mergeCell ref="E48:H48"/>
    <mergeCell ref="E49:H49"/>
    <mergeCell ref="B16:H17"/>
    <mergeCell ref="B23:H25"/>
    <mergeCell ref="B27:H28"/>
    <mergeCell ref="E40:H40"/>
  </mergeCells>
  <phoneticPr fontId="11" type="noConversion"/>
  <pageMargins left="0.75" right="0.75" top="1" bottom="1" header="0.5" footer="0.5"/>
  <pageSetup scale="77" orientation="portrait" blackAndWhite="1"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H52"/>
  <sheetViews>
    <sheetView topLeftCell="A23" workbookViewId="0">
      <selection activeCell="D26" sqref="D26"/>
    </sheetView>
  </sheetViews>
  <sheetFormatPr defaultRowHeight="15.75"/>
  <cols>
    <col min="1" max="1" width="15.77734375" style="16" customWidth="1"/>
    <col min="2" max="2" width="20.77734375" style="16" customWidth="1"/>
    <col min="3" max="3" width="9.77734375" style="16" customWidth="1"/>
    <col min="4" max="4" width="15.6640625" style="16" customWidth="1"/>
    <col min="5" max="5" width="14.21875" style="16" customWidth="1"/>
    <col min="6" max="6" width="1.77734375" style="16" customWidth="1"/>
    <col min="7" max="7" width="18.6640625" style="16" customWidth="1"/>
    <col min="8" max="16384" width="8.88671875" style="16"/>
  </cols>
  <sheetData>
    <row r="1" spans="1:8">
      <c r="A1" s="641" t="s">
        <v>375</v>
      </c>
      <c r="B1" s="642"/>
      <c r="C1" s="642"/>
      <c r="D1" s="642"/>
      <c r="E1" s="642"/>
    </row>
    <row r="2" spans="1:8">
      <c r="A2" s="17"/>
      <c r="B2" s="18"/>
      <c r="C2" s="18"/>
      <c r="D2" s="18"/>
      <c r="E2" s="18"/>
    </row>
    <row r="3" spans="1:8">
      <c r="A3" s="19" t="s">
        <v>499</v>
      </c>
      <c r="B3" s="18"/>
      <c r="C3" s="18"/>
      <c r="D3" s="522" t="s">
        <v>336</v>
      </c>
      <c r="E3" s="20"/>
    </row>
    <row r="4" spans="1:8">
      <c r="A4" s="19" t="s">
        <v>594</v>
      </c>
      <c r="B4" s="18"/>
      <c r="C4" s="18"/>
      <c r="D4" s="523" t="s">
        <v>335</v>
      </c>
      <c r="E4" s="20"/>
    </row>
    <row r="5" spans="1:8">
      <c r="A5" s="17"/>
      <c r="B5" s="18"/>
      <c r="C5" s="18"/>
      <c r="D5" s="21"/>
      <c r="E5" s="20"/>
    </row>
    <row r="6" spans="1:8">
      <c r="A6" s="19" t="s">
        <v>519</v>
      </c>
      <c r="B6" s="18"/>
      <c r="C6" s="18"/>
      <c r="D6" s="22">
        <v>2014</v>
      </c>
      <c r="E6" s="20"/>
    </row>
    <row r="7" spans="1:8">
      <c r="A7" s="18"/>
      <c r="B7" s="18"/>
      <c r="C7" s="18"/>
      <c r="D7" s="18"/>
      <c r="E7" s="18"/>
    </row>
    <row r="8" spans="1:8">
      <c r="A8" s="643" t="s">
        <v>575</v>
      </c>
      <c r="B8" s="644"/>
      <c r="C8" s="644"/>
      <c r="D8" s="644"/>
      <c r="E8" s="644"/>
    </row>
    <row r="9" spans="1:8">
      <c r="A9" s="23" t="s">
        <v>446</v>
      </c>
      <c r="B9" s="24"/>
      <c r="C9" s="24"/>
      <c r="D9" s="24"/>
      <c r="E9" s="24"/>
    </row>
    <row r="10" spans="1:8">
      <c r="A10" s="645" t="s">
        <v>574</v>
      </c>
      <c r="B10" s="646"/>
      <c r="C10" s="646"/>
      <c r="D10" s="646"/>
      <c r="E10" s="646"/>
      <c r="F10" s="18"/>
      <c r="G10" s="634" t="s">
        <v>247</v>
      </c>
      <c r="H10" s="635"/>
    </row>
    <row r="11" spans="1:8">
      <c r="A11" s="25"/>
      <c r="B11" s="18"/>
      <c r="C11" s="18"/>
      <c r="D11" s="18"/>
      <c r="E11" s="18"/>
      <c r="F11" s="18"/>
      <c r="G11" s="636"/>
      <c r="H11" s="635"/>
    </row>
    <row r="12" spans="1:8">
      <c r="A12" s="639" t="s">
        <v>563</v>
      </c>
      <c r="B12" s="640"/>
      <c r="C12" s="640"/>
      <c r="D12" s="640"/>
      <c r="E12" s="640"/>
      <c r="F12" s="18"/>
      <c r="G12" s="636"/>
      <c r="H12" s="635"/>
    </row>
    <row r="13" spans="1:8">
      <c r="A13" s="25"/>
      <c r="B13" s="18"/>
      <c r="C13" s="18"/>
      <c r="D13" s="18"/>
      <c r="E13" s="18"/>
      <c r="F13" s="18"/>
      <c r="G13" s="636"/>
      <c r="H13" s="635"/>
    </row>
    <row r="14" spans="1:8">
      <c r="A14" s="26" t="s">
        <v>523</v>
      </c>
      <c r="B14" s="27"/>
      <c r="C14" s="18"/>
      <c r="D14" s="18"/>
      <c r="E14" s="18"/>
      <c r="F14" s="18"/>
      <c r="G14" s="636"/>
      <c r="H14" s="635"/>
    </row>
    <row r="15" spans="1:8">
      <c r="A15" s="28" t="str">
        <f>CONCATENATE("the ",D6-1," Budget, Certificate Page:")</f>
        <v>the 2013 Budget, Certificate Page:</v>
      </c>
      <c r="B15" s="29"/>
      <c r="C15" s="18"/>
      <c r="D15" s="18"/>
      <c r="E15" s="18"/>
      <c r="F15" s="18"/>
      <c r="G15" s="636"/>
      <c r="H15" s="635"/>
    </row>
    <row r="16" spans="1:8">
      <c r="A16" s="28" t="s">
        <v>643</v>
      </c>
      <c r="B16" s="29"/>
      <c r="C16" s="18"/>
      <c r="D16" s="18"/>
      <c r="E16" s="18"/>
      <c r="F16" s="18"/>
      <c r="G16" s="69"/>
      <c r="H16" s="52"/>
    </row>
    <row r="17" spans="1:8">
      <c r="A17" s="18"/>
      <c r="B17" s="18"/>
      <c r="C17" s="30"/>
      <c r="D17" s="31">
        <f>D6-1</f>
        <v>2013</v>
      </c>
      <c r="E17" s="647" t="str">
        <f>CONCATENATE("Amount of ",D6-2,"     Ad Valorem Tax")</f>
        <v>Amount of 2012     Ad Valorem Tax</v>
      </c>
      <c r="G17" s="102" t="s">
        <v>248</v>
      </c>
      <c r="H17" s="111" t="s">
        <v>411</v>
      </c>
    </row>
    <row r="18" spans="1:8">
      <c r="A18" s="17" t="s">
        <v>376</v>
      </c>
      <c r="B18" s="18"/>
      <c r="C18" s="30" t="s">
        <v>377</v>
      </c>
      <c r="D18" s="32" t="s">
        <v>644</v>
      </c>
      <c r="E18" s="648"/>
      <c r="G18" s="114" t="str">
        <f>CONCATENATE("",D6-2," Ad Valorem Tax")</f>
        <v>2012 Ad Valorem Tax</v>
      </c>
      <c r="H18" s="534">
        <v>0</v>
      </c>
    </row>
    <row r="19" spans="1:8">
      <c r="A19" s="18"/>
      <c r="B19" s="33" t="s">
        <v>378</v>
      </c>
      <c r="C19" s="609"/>
      <c r="D19" s="35">
        <v>48473</v>
      </c>
      <c r="E19" s="35">
        <v>36193</v>
      </c>
      <c r="G19" s="45">
        <f>IF(H18&gt;0,ROUND(E19-(E19*H18),0),0)</f>
        <v>0</v>
      </c>
    </row>
    <row r="20" spans="1:8">
      <c r="A20" s="18"/>
      <c r="B20" s="33" t="s">
        <v>639</v>
      </c>
      <c r="C20" s="111" t="s">
        <v>525</v>
      </c>
      <c r="D20" s="35"/>
      <c r="E20" s="35"/>
      <c r="G20" s="45">
        <f>IF(H18&gt;0,ROUND(E20-(E20*H18),0),0)</f>
        <v>0</v>
      </c>
    </row>
    <row r="21" spans="1:8">
      <c r="A21" s="17" t="s">
        <v>379</v>
      </c>
      <c r="B21" s="18"/>
      <c r="C21" s="18"/>
      <c r="D21" s="37"/>
      <c r="E21" s="38"/>
    </row>
    <row r="22" spans="1:8">
      <c r="A22" s="18"/>
      <c r="B22" s="34"/>
      <c r="C22" s="392"/>
      <c r="D22" s="35"/>
      <c r="E22" s="35"/>
      <c r="G22" s="45">
        <f>IF(H18&gt;0,ROUND(E22-(E22*H18),0),0)</f>
        <v>0</v>
      </c>
    </row>
    <row r="23" spans="1:8">
      <c r="A23" s="18"/>
      <c r="B23" s="34"/>
      <c r="C23" s="392"/>
      <c r="D23" s="35"/>
      <c r="E23" s="35"/>
      <c r="G23" s="45">
        <f>IF(H18&gt;0,ROUND(E23-(E23*H18),0),0)</f>
        <v>0</v>
      </c>
    </row>
    <row r="24" spans="1:8">
      <c r="A24" s="39" t="str">
        <f>CONCATENATE("Total Ad Valorem Tax for ",D6-1," Budgeted Year")</f>
        <v>Total Ad Valorem Tax for 2013 Budgeted Year</v>
      </c>
      <c r="B24" s="40"/>
      <c r="C24" s="40"/>
      <c r="D24" s="41"/>
      <c r="E24" s="42">
        <f>SUM(E19:E20,E22:E23)</f>
        <v>36193</v>
      </c>
    </row>
    <row r="25" spans="1:8">
      <c r="A25" s="43" t="s">
        <v>380</v>
      </c>
      <c r="B25" s="18"/>
      <c r="C25" s="18"/>
      <c r="D25" s="18"/>
      <c r="E25" s="18"/>
    </row>
    <row r="26" spans="1:8">
      <c r="A26" s="18"/>
      <c r="B26" s="34"/>
      <c r="C26" s="18"/>
      <c r="D26" s="35"/>
      <c r="E26" s="18"/>
    </row>
    <row r="27" spans="1:8">
      <c r="A27" s="18"/>
      <c r="B27" s="34"/>
      <c r="C27" s="18"/>
      <c r="D27" s="35"/>
      <c r="E27" s="18"/>
    </row>
    <row r="28" spans="1:8">
      <c r="A28" s="40" t="str">
        <f>CONCATENATE("Total Expenditures for ",D6-1," Budgeted Year")</f>
        <v>Total Expenditures for 2013 Budgeted Year</v>
      </c>
      <c r="B28" s="40"/>
      <c r="C28" s="44"/>
      <c r="D28" s="45">
        <f>SUM(D19:D20,D22:D23,D26:D27)</f>
        <v>48473</v>
      </c>
      <c r="E28" s="37"/>
    </row>
    <row r="29" spans="1:8">
      <c r="A29" s="18" t="s">
        <v>611</v>
      </c>
      <c r="B29" s="18"/>
      <c r="C29" s="18"/>
      <c r="D29" s="18"/>
      <c r="E29" s="37"/>
    </row>
    <row r="30" spans="1:8">
      <c r="A30" s="18">
        <v>1</v>
      </c>
      <c r="B30" s="46"/>
      <c r="C30" s="18"/>
      <c r="D30" s="18"/>
      <c r="E30" s="37"/>
    </row>
    <row r="31" spans="1:8">
      <c r="A31" s="18">
        <v>2</v>
      </c>
      <c r="B31" s="46"/>
      <c r="C31" s="18"/>
      <c r="D31" s="18"/>
      <c r="E31" s="37"/>
    </row>
    <row r="32" spans="1:8">
      <c r="A32" s="18">
        <v>3</v>
      </c>
      <c r="B32" s="46"/>
      <c r="C32" s="18"/>
      <c r="D32" s="18"/>
      <c r="E32" s="37"/>
    </row>
    <row r="33" spans="1:5">
      <c r="A33" s="18">
        <v>4</v>
      </c>
      <c r="B33" s="46"/>
      <c r="C33" s="18"/>
      <c r="D33" s="18"/>
      <c r="E33" s="37"/>
    </row>
    <row r="34" spans="1:5">
      <c r="A34" s="18">
        <v>5</v>
      </c>
      <c r="B34" s="46"/>
      <c r="C34" s="18"/>
      <c r="D34" s="18"/>
      <c r="E34" s="37"/>
    </row>
    <row r="35" spans="1:5">
      <c r="A35" s="18"/>
      <c r="B35" s="18"/>
      <c r="C35" s="18"/>
      <c r="D35" s="18"/>
      <c r="E35" s="37"/>
    </row>
    <row r="36" spans="1:5">
      <c r="A36" s="26" t="s">
        <v>523</v>
      </c>
      <c r="B36" s="27"/>
      <c r="C36" s="18"/>
      <c r="D36" s="637" t="str">
        <f>CONCATENATE("",D6-3," Tax Rate          (",D6-2," Column)")</f>
        <v>2011 Tax Rate          (2012 Column)</v>
      </c>
      <c r="E36" s="37"/>
    </row>
    <row r="37" spans="1:5">
      <c r="A37" s="28" t="str">
        <f>CONCATENATE("the ",D6-1," Budget, Budget Summary Page:")</f>
        <v>the 2013 Budget, Budget Summary Page:</v>
      </c>
      <c r="B37" s="29"/>
      <c r="C37" s="18"/>
      <c r="D37" s="638"/>
      <c r="E37" s="37"/>
    </row>
    <row r="38" spans="1:5">
      <c r="A38" s="18"/>
      <c r="B38" s="36" t="str">
        <f>B19</f>
        <v>General</v>
      </c>
      <c r="C38" s="18"/>
      <c r="D38" s="47">
        <v>0.89700000000000002</v>
      </c>
      <c r="E38" s="37"/>
    </row>
    <row r="39" spans="1:5">
      <c r="A39" s="18"/>
      <c r="B39" s="36" t="str">
        <f>B20</f>
        <v>Debt Service</v>
      </c>
      <c r="C39" s="18"/>
      <c r="D39" s="47"/>
      <c r="E39" s="37"/>
    </row>
    <row r="40" spans="1:5">
      <c r="A40" s="18"/>
      <c r="B40" s="36">
        <f>B22</f>
        <v>0</v>
      </c>
      <c r="C40" s="18"/>
      <c r="D40" s="47"/>
      <c r="E40" s="37"/>
    </row>
    <row r="41" spans="1:5">
      <c r="A41" s="18"/>
      <c r="B41" s="36">
        <f>B23</f>
        <v>0</v>
      </c>
      <c r="C41" s="18"/>
      <c r="D41" s="47"/>
      <c r="E41" s="37"/>
    </row>
    <row r="42" spans="1:5" ht="16.5" thickBot="1">
      <c r="A42" s="17" t="s">
        <v>381</v>
      </c>
      <c r="B42" s="18"/>
      <c r="C42" s="18"/>
      <c r="D42" s="48">
        <f>SUM(D38:D41)</f>
        <v>0.89700000000000002</v>
      </c>
      <c r="E42" s="37"/>
    </row>
    <row r="43" spans="1:5" ht="16.5" thickTop="1">
      <c r="A43" s="18"/>
      <c r="B43" s="18"/>
      <c r="C43" s="18"/>
      <c r="D43" s="18"/>
      <c r="E43" s="37"/>
    </row>
    <row r="44" spans="1:5">
      <c r="A44" s="49" t="str">
        <f>CONCATENATE("Total Tax Levied (",D6-2," budget column)")</f>
        <v>Total Tax Levied (2012 budget column)</v>
      </c>
      <c r="B44" s="27"/>
      <c r="C44" s="18"/>
      <c r="D44" s="18"/>
      <c r="E44" s="50">
        <v>45482</v>
      </c>
    </row>
    <row r="45" spans="1:5">
      <c r="A45" s="49" t="str">
        <f>CONCATENATE("Assessed Valuation (",D6-2," budget column)")</f>
        <v>Assessed Valuation (2012 budget column)</v>
      </c>
      <c r="B45" s="27"/>
      <c r="C45" s="18"/>
      <c r="D45" s="18"/>
      <c r="E45" s="51">
        <v>32075459</v>
      </c>
    </row>
    <row r="46" spans="1:5">
      <c r="A46" s="18"/>
      <c r="B46" s="18"/>
      <c r="C46" s="18"/>
      <c r="D46" s="18"/>
      <c r="E46" s="37"/>
    </row>
    <row r="47" spans="1:5">
      <c r="A47" s="27" t="s">
        <v>576</v>
      </c>
      <c r="B47" s="27"/>
      <c r="C47" s="52"/>
      <c r="D47" s="53">
        <f>D6-3</f>
        <v>2011</v>
      </c>
      <c r="E47" s="53">
        <f>D6-2</f>
        <v>2012</v>
      </c>
    </row>
    <row r="48" spans="1:5">
      <c r="A48" s="54" t="s">
        <v>520</v>
      </c>
      <c r="B48" s="54"/>
      <c r="C48" s="55"/>
      <c r="D48" s="56"/>
      <c r="E48" s="56"/>
    </row>
    <row r="49" spans="1:5">
      <c r="A49" s="57" t="s">
        <v>521</v>
      </c>
      <c r="B49" s="57"/>
      <c r="C49" s="58"/>
      <c r="D49" s="56"/>
      <c r="E49" s="56"/>
    </row>
    <row r="50" spans="1:5">
      <c r="A50" s="57" t="s">
        <v>205</v>
      </c>
      <c r="B50" s="57"/>
      <c r="C50" s="58"/>
      <c r="D50" s="56"/>
      <c r="E50" s="56"/>
    </row>
    <row r="51" spans="1:5">
      <c r="A51" s="57" t="s">
        <v>522</v>
      </c>
      <c r="B51" s="57"/>
      <c r="C51" s="58"/>
      <c r="D51" s="56"/>
      <c r="E51" s="56"/>
    </row>
    <row r="52" spans="1:5">
      <c r="A52" s="57"/>
      <c r="B52" s="57"/>
      <c r="C52" s="59"/>
      <c r="D52" s="56"/>
      <c r="E52" s="56"/>
    </row>
  </sheetData>
  <sheetProtection sheet="1"/>
  <mergeCells count="7">
    <mergeCell ref="G10:H15"/>
    <mergeCell ref="D36:D37"/>
    <mergeCell ref="A12:E12"/>
    <mergeCell ref="A1:E1"/>
    <mergeCell ref="A8:E8"/>
    <mergeCell ref="A10:E10"/>
    <mergeCell ref="E17:E18"/>
  </mergeCells>
  <phoneticPr fontId="0" type="noConversion"/>
  <pageMargins left="0.5" right="0.5" top="0.5" bottom="0.5" header="0.5" footer="0.5"/>
  <pageSetup orientation="portrait" blackAndWhite="1" horizontalDpi="120" verticalDpi="144" r:id="rId1"/>
  <headerFooter alignWithMargins="0"/>
</worksheet>
</file>

<file path=xl/worksheets/sheet20.xml><?xml version="1.0" encoding="utf-8"?>
<worksheet xmlns="http://schemas.openxmlformats.org/spreadsheetml/2006/main" xmlns:r="http://schemas.openxmlformats.org/officeDocument/2006/relationships">
  <sheetPr>
    <tabColor rgb="FFFF0000"/>
  </sheetPr>
  <dimension ref="A3:L72"/>
  <sheetViews>
    <sheetView workbookViewId="0"/>
  </sheetViews>
  <sheetFormatPr defaultRowHeight="15"/>
  <cols>
    <col min="1" max="1" width="71.33203125" customWidth="1"/>
  </cols>
  <sheetData>
    <row r="3" spans="1:12">
      <c r="A3" s="354" t="s">
        <v>703</v>
      </c>
      <c r="B3" s="354"/>
      <c r="C3" s="354"/>
      <c r="D3" s="354"/>
      <c r="E3" s="354"/>
      <c r="F3" s="354"/>
      <c r="G3" s="354"/>
      <c r="H3" s="354"/>
      <c r="I3" s="354"/>
      <c r="J3" s="354"/>
      <c r="K3" s="354"/>
      <c r="L3" s="354"/>
    </row>
    <row r="5" spans="1:12">
      <c r="A5" s="355" t="s">
        <v>704</v>
      </c>
    </row>
    <row r="6" spans="1:12">
      <c r="A6" s="355" t="str">
        <f ca="1">CONCATENATE(inputPrYr!D6-2," 'total expenditures' exceed your ",inputPrYr!D6-2," 'budget authority.'")</f>
        <v>2012 'total expenditures' exceed your 2012 'budget authority.'</v>
      </c>
    </row>
    <row r="7" spans="1:12">
      <c r="A7" s="355"/>
    </row>
    <row r="8" spans="1:12">
      <c r="A8" s="355" t="s">
        <v>705</v>
      </c>
    </row>
    <row r="9" spans="1:12">
      <c r="A9" s="355" t="s">
        <v>706</v>
      </c>
    </row>
    <row r="10" spans="1:12">
      <c r="A10" s="355" t="s">
        <v>707</v>
      </c>
    </row>
    <row r="11" spans="1:12">
      <c r="A11" s="355"/>
    </row>
    <row r="12" spans="1:12">
      <c r="A12" s="355"/>
    </row>
    <row r="13" spans="1:12">
      <c r="A13" s="356" t="s">
        <v>708</v>
      </c>
    </row>
    <row r="15" spans="1:12">
      <c r="A15" s="355" t="s">
        <v>709</v>
      </c>
    </row>
    <row r="16" spans="1:12">
      <c r="A16" s="355" t="str">
        <f ca="1">CONCATENATE("(i.e. an audit has not been completed, or the ",inputPrYr!D6," adopted")</f>
        <v>(i.e. an audit has not been completed, or the 2014 adopted</v>
      </c>
    </row>
    <row r="17" spans="1:1">
      <c r="A17" s="355" t="s">
        <v>710</v>
      </c>
    </row>
    <row r="18" spans="1:1">
      <c r="A18" s="355" t="s">
        <v>711</v>
      </c>
    </row>
    <row r="19" spans="1:1">
      <c r="A19" s="355" t="s">
        <v>712</v>
      </c>
    </row>
    <row r="21" spans="1:1">
      <c r="A21" s="356" t="s">
        <v>713</v>
      </c>
    </row>
    <row r="22" spans="1:1">
      <c r="A22" s="356"/>
    </row>
    <row r="23" spans="1:1">
      <c r="A23" s="355" t="s">
        <v>714</v>
      </c>
    </row>
    <row r="24" spans="1:1">
      <c r="A24" s="355" t="s">
        <v>715</v>
      </c>
    </row>
    <row r="25" spans="1:1">
      <c r="A25" s="355" t="str">
        <f ca="1">CONCATENATE("particular fund.  If your ",inputPrYr!D6-2," budget was amended, did you")</f>
        <v>particular fund.  If your 2012 budget was amended, did you</v>
      </c>
    </row>
    <row r="26" spans="1:1">
      <c r="A26" s="355" t="s">
        <v>716</v>
      </c>
    </row>
    <row r="27" spans="1:1">
      <c r="A27" s="355"/>
    </row>
    <row r="28" spans="1:1">
      <c r="A28" s="355" t="str">
        <f ca="1">CONCATENATE("Next, look to see if any of your ",inputPrYr!D6-2," expenditures can be")</f>
        <v>Next, look to see if any of your 2012 expenditures can be</v>
      </c>
    </row>
    <row r="29" spans="1:1">
      <c r="A29" s="355" t="s">
        <v>717</v>
      </c>
    </row>
    <row r="30" spans="1:1">
      <c r="A30" s="355" t="s">
        <v>718</v>
      </c>
    </row>
    <row r="31" spans="1:1">
      <c r="A31" s="355" t="s">
        <v>719</v>
      </c>
    </row>
    <row r="32" spans="1:1">
      <c r="A32" s="355"/>
    </row>
    <row r="33" spans="1:1">
      <c r="A33" s="355" t="str">
        <f ca="1">CONCATENATE("Additionally, do your ",inputPrYr!D6-2," receipts contain a reimbursement")</f>
        <v>Additionally, do your 2012 receipts contain a reimbursement</v>
      </c>
    </row>
    <row r="34" spans="1:1">
      <c r="A34" s="355" t="s">
        <v>720</v>
      </c>
    </row>
    <row r="35" spans="1:1">
      <c r="A35" s="355" t="s">
        <v>721</v>
      </c>
    </row>
    <row r="36" spans="1:1">
      <c r="A36" s="355"/>
    </row>
    <row r="37" spans="1:1">
      <c r="A37" s="355" t="s">
        <v>725</v>
      </c>
    </row>
    <row r="38" spans="1:1">
      <c r="A38" s="355" t="s">
        <v>726</v>
      </c>
    </row>
    <row r="39" spans="1:1">
      <c r="A39" s="355" t="s">
        <v>727</v>
      </c>
    </row>
    <row r="40" spans="1:1">
      <c r="A40" s="355"/>
    </row>
    <row r="41" spans="1:1">
      <c r="A41" s="356" t="s">
        <v>728</v>
      </c>
    </row>
    <row r="42" spans="1:1">
      <c r="A42" s="355"/>
    </row>
    <row r="43" spans="1:1">
      <c r="A43" s="355" t="s">
        <v>729</v>
      </c>
    </row>
    <row r="44" spans="1:1">
      <c r="A44" s="355" t="s">
        <v>730</v>
      </c>
    </row>
    <row r="45" spans="1:1">
      <c r="A45" s="355" t="s">
        <v>731</v>
      </c>
    </row>
    <row r="46" spans="1:1">
      <c r="A46" s="355" t="s">
        <v>732</v>
      </c>
    </row>
    <row r="47" spans="1:1">
      <c r="A47" s="355" t="s">
        <v>733</v>
      </c>
    </row>
    <row r="48" spans="1:1">
      <c r="A48" s="355" t="s">
        <v>734</v>
      </c>
    </row>
    <row r="49" spans="1:1">
      <c r="A49" s="355" t="s">
        <v>735</v>
      </c>
    </row>
    <row r="50" spans="1:1">
      <c r="A50" s="355" t="s">
        <v>736</v>
      </c>
    </row>
    <row r="51" spans="1:1">
      <c r="A51" s="355" t="s">
        <v>737</v>
      </c>
    </row>
    <row r="52" spans="1:1">
      <c r="A52" s="355" t="s">
        <v>738</v>
      </c>
    </row>
    <row r="53" spans="1:1">
      <c r="A53" s="355" t="s">
        <v>739</v>
      </c>
    </row>
    <row r="54" spans="1:1">
      <c r="A54" s="355" t="s">
        <v>740</v>
      </c>
    </row>
    <row r="55" spans="1:1">
      <c r="A55" s="355" t="s">
        <v>741</v>
      </c>
    </row>
    <row r="56" spans="1:1">
      <c r="A56" s="355"/>
    </row>
    <row r="57" spans="1:1">
      <c r="A57" s="355" t="s">
        <v>742</v>
      </c>
    </row>
    <row r="58" spans="1:1">
      <c r="A58" s="355" t="s">
        <v>743</v>
      </c>
    </row>
    <row r="59" spans="1:1">
      <c r="A59" s="355" t="s">
        <v>744</v>
      </c>
    </row>
    <row r="60" spans="1:1">
      <c r="A60" s="355"/>
    </row>
    <row r="61" spans="1:1">
      <c r="A61" s="356" t="str">
        <f ca="1">CONCATENATE("What if the ",inputPrYr!D6-2," financial records have been closed?")</f>
        <v>What if the 2012 financial records have been closed?</v>
      </c>
    </row>
    <row r="63" spans="1:1">
      <c r="A63" s="355" t="s">
        <v>745</v>
      </c>
    </row>
    <row r="64" spans="1:1">
      <c r="A64" s="355" t="str">
        <f ca="1">CONCATENATE("(i.e. an audit for ",inputPrYr!D6-2," has been completed, or the ",inputPrYr!D6)</f>
        <v>(i.e. an audit for 2012 has been completed, or the 2014</v>
      </c>
    </row>
    <row r="65" spans="1:1">
      <c r="A65" s="355" t="s">
        <v>746</v>
      </c>
    </row>
    <row r="66" spans="1:1">
      <c r="A66" s="355" t="s">
        <v>747</v>
      </c>
    </row>
    <row r="67" spans="1:1">
      <c r="A67" s="355"/>
    </row>
    <row r="68" spans="1:1">
      <c r="A68" s="355" t="s">
        <v>748</v>
      </c>
    </row>
    <row r="69" spans="1:1">
      <c r="A69" s="355" t="s">
        <v>749</v>
      </c>
    </row>
    <row r="70" spans="1:1">
      <c r="A70" s="355" t="s">
        <v>750</v>
      </c>
    </row>
    <row r="71" spans="1:1">
      <c r="A71" s="355"/>
    </row>
    <row r="72" spans="1:1">
      <c r="A72" s="355" t="s">
        <v>751</v>
      </c>
    </row>
  </sheetData>
  <sheetProtection sheet="1"/>
  <phoneticPr fontId="0" type="noConversion"/>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sheetPr>
    <tabColor rgb="FFFF0000"/>
  </sheetPr>
  <dimension ref="A3:J109"/>
  <sheetViews>
    <sheetView workbookViewId="0"/>
  </sheetViews>
  <sheetFormatPr defaultRowHeight="15"/>
  <cols>
    <col min="1" max="1" width="71.33203125" customWidth="1"/>
  </cols>
  <sheetData>
    <row r="3" spans="1:10">
      <c r="A3" s="354" t="s">
        <v>752</v>
      </c>
      <c r="B3" s="354"/>
      <c r="C3" s="354"/>
      <c r="D3" s="354"/>
      <c r="E3" s="354"/>
      <c r="F3" s="354"/>
      <c r="G3" s="354"/>
      <c r="H3" s="357"/>
      <c r="I3" s="357"/>
      <c r="J3" s="357"/>
    </row>
    <row r="5" spans="1:10">
      <c r="A5" s="355" t="s">
        <v>753</v>
      </c>
    </row>
    <row r="6" spans="1:10">
      <c r="A6" t="str">
        <f ca="1">CONCATENATE(inputPrYr!D6-2," expenditures show that you finished the year with a ")</f>
        <v xml:space="preserve">2012 expenditures show that you finished the year with a </v>
      </c>
    </row>
    <row r="7" spans="1:10">
      <c r="A7" t="s">
        <v>754</v>
      </c>
    </row>
    <row r="9" spans="1:10">
      <c r="A9" t="s">
        <v>755</v>
      </c>
    </row>
    <row r="10" spans="1:10">
      <c r="A10" t="s">
        <v>756</v>
      </c>
    </row>
    <row r="11" spans="1:10">
      <c r="A11" t="s">
        <v>757</v>
      </c>
    </row>
    <row r="13" spans="1:10">
      <c r="A13" s="356" t="s">
        <v>758</v>
      </c>
    </row>
    <row r="14" spans="1:10">
      <c r="A14" s="356"/>
    </row>
    <row r="15" spans="1:10">
      <c r="A15" s="355" t="s">
        <v>759</v>
      </c>
    </row>
    <row r="16" spans="1:10">
      <c r="A16" s="355" t="s">
        <v>760</v>
      </c>
    </row>
    <row r="17" spans="1:1">
      <c r="A17" s="355" t="s">
        <v>761</v>
      </c>
    </row>
    <row r="18" spans="1:1">
      <c r="A18" s="355"/>
    </row>
    <row r="19" spans="1:1">
      <c r="A19" s="356" t="s">
        <v>762</v>
      </c>
    </row>
    <row r="20" spans="1:1">
      <c r="A20" s="356"/>
    </row>
    <row r="21" spans="1:1">
      <c r="A21" s="355" t="s">
        <v>763</v>
      </c>
    </row>
    <row r="22" spans="1:1">
      <c r="A22" s="355" t="s">
        <v>764</v>
      </c>
    </row>
    <row r="23" spans="1:1">
      <c r="A23" s="355" t="s">
        <v>765</v>
      </c>
    </row>
    <row r="24" spans="1:1">
      <c r="A24" s="355"/>
    </row>
    <row r="25" spans="1:1">
      <c r="A25" s="356" t="s">
        <v>766</v>
      </c>
    </row>
    <row r="26" spans="1:1">
      <c r="A26" s="356"/>
    </row>
    <row r="27" spans="1:1">
      <c r="A27" s="355" t="s">
        <v>767</v>
      </c>
    </row>
    <row r="28" spans="1:1">
      <c r="A28" s="355" t="s">
        <v>768</v>
      </c>
    </row>
    <row r="29" spans="1:1">
      <c r="A29" s="355" t="s">
        <v>769</v>
      </c>
    </row>
    <row r="30" spans="1:1">
      <c r="A30" s="355"/>
    </row>
    <row r="31" spans="1:1">
      <c r="A31" s="356" t="s">
        <v>770</v>
      </c>
    </row>
    <row r="32" spans="1:1">
      <c r="A32" s="356"/>
    </row>
    <row r="33" spans="1:8">
      <c r="A33" s="355" t="str">
        <f ca="1">CONCATENATE("If your financial records for ",inputPrYr!D6-2," are not closed")</f>
        <v>If your financial records for 2012 are not closed</v>
      </c>
      <c r="B33" s="355"/>
      <c r="C33" s="355"/>
      <c r="D33" s="355"/>
      <c r="E33" s="355"/>
      <c r="F33" s="355"/>
      <c r="G33" s="355"/>
      <c r="H33" s="355"/>
    </row>
    <row r="34" spans="1:8">
      <c r="A34" s="355" t="str">
        <f ca="1">CONCATENATE("(i.e. an audit has not been completed, or the ",inputPrYr!D6," adopted ")</f>
        <v xml:space="preserve">(i.e. an audit has not been completed, or the 2014 adopted </v>
      </c>
      <c r="B34" s="355"/>
      <c r="C34" s="355"/>
      <c r="D34" s="355"/>
      <c r="E34" s="355"/>
      <c r="F34" s="355"/>
      <c r="G34" s="355"/>
      <c r="H34" s="355"/>
    </row>
    <row r="35" spans="1:8">
      <c r="A35" s="355" t="s">
        <v>771</v>
      </c>
      <c r="B35" s="355"/>
      <c r="C35" s="355"/>
      <c r="D35" s="355"/>
      <c r="E35" s="355"/>
      <c r="F35" s="355"/>
      <c r="G35" s="355"/>
      <c r="H35" s="355"/>
    </row>
    <row r="36" spans="1:8">
      <c r="A36" s="355" t="s">
        <v>772</v>
      </c>
      <c r="B36" s="355"/>
      <c r="C36" s="355"/>
      <c r="D36" s="355"/>
      <c r="E36" s="355"/>
      <c r="F36" s="355"/>
      <c r="G36" s="355"/>
      <c r="H36" s="355"/>
    </row>
    <row r="37" spans="1:8">
      <c r="A37" s="355" t="s">
        <v>773</v>
      </c>
      <c r="B37" s="355"/>
      <c r="C37" s="355"/>
      <c r="D37" s="355"/>
      <c r="E37" s="355"/>
      <c r="F37" s="355"/>
      <c r="G37" s="355"/>
      <c r="H37" s="355"/>
    </row>
    <row r="38" spans="1:8">
      <c r="A38" s="355" t="s">
        <v>774</v>
      </c>
      <c r="B38" s="355"/>
      <c r="C38" s="355"/>
      <c r="D38" s="355"/>
      <c r="E38" s="355"/>
      <c r="F38" s="355"/>
      <c r="G38" s="355"/>
      <c r="H38" s="355"/>
    </row>
    <row r="39" spans="1:8">
      <c r="A39" s="355" t="s">
        <v>775</v>
      </c>
      <c r="B39" s="355"/>
      <c r="C39" s="355"/>
      <c r="D39" s="355"/>
      <c r="E39" s="355"/>
      <c r="F39" s="355"/>
      <c r="G39" s="355"/>
      <c r="H39" s="355"/>
    </row>
    <row r="40" spans="1:8">
      <c r="A40" s="355"/>
      <c r="B40" s="355"/>
      <c r="C40" s="355"/>
      <c r="D40" s="355"/>
      <c r="E40" s="355"/>
      <c r="F40" s="355"/>
      <c r="G40" s="355"/>
      <c r="H40" s="355"/>
    </row>
    <row r="41" spans="1:8">
      <c r="A41" s="355" t="s">
        <v>776</v>
      </c>
      <c r="B41" s="355"/>
      <c r="C41" s="355"/>
      <c r="D41" s="355"/>
      <c r="E41" s="355"/>
      <c r="F41" s="355"/>
      <c r="G41" s="355"/>
      <c r="H41" s="355"/>
    </row>
    <row r="42" spans="1:8">
      <c r="A42" s="355" t="s">
        <v>777</v>
      </c>
      <c r="B42" s="355"/>
      <c r="C42" s="355"/>
      <c r="D42" s="355"/>
      <c r="E42" s="355"/>
      <c r="F42" s="355"/>
      <c r="G42" s="355"/>
      <c r="H42" s="355"/>
    </row>
    <row r="43" spans="1:8">
      <c r="A43" s="355" t="s">
        <v>778</v>
      </c>
      <c r="B43" s="355"/>
      <c r="C43" s="355"/>
      <c r="D43" s="355"/>
      <c r="E43" s="355"/>
      <c r="F43" s="355"/>
      <c r="G43" s="355"/>
      <c r="H43" s="355"/>
    </row>
    <row r="44" spans="1:8">
      <c r="A44" s="355" t="s">
        <v>779</v>
      </c>
      <c r="B44" s="355"/>
      <c r="C44" s="355"/>
      <c r="D44" s="355"/>
      <c r="E44" s="355"/>
      <c r="F44" s="355"/>
      <c r="G44" s="355"/>
      <c r="H44" s="355"/>
    </row>
    <row r="45" spans="1:8">
      <c r="A45" s="355"/>
      <c r="B45" s="355"/>
      <c r="C45" s="355"/>
      <c r="D45" s="355"/>
      <c r="E45" s="355"/>
      <c r="F45" s="355"/>
      <c r="G45" s="355"/>
      <c r="H45" s="355"/>
    </row>
    <row r="46" spans="1:8">
      <c r="A46" s="355" t="s">
        <v>780</v>
      </c>
      <c r="B46" s="355"/>
      <c r="C46" s="355"/>
      <c r="D46" s="355"/>
      <c r="E46" s="355"/>
      <c r="F46" s="355"/>
      <c r="G46" s="355"/>
      <c r="H46" s="355"/>
    </row>
    <row r="47" spans="1:8">
      <c r="A47" s="355" t="s">
        <v>781</v>
      </c>
      <c r="B47" s="355"/>
      <c r="C47" s="355"/>
      <c r="D47" s="355"/>
      <c r="E47" s="355"/>
      <c r="F47" s="355"/>
      <c r="G47" s="355"/>
      <c r="H47" s="355"/>
    </row>
    <row r="48" spans="1:8">
      <c r="A48" s="355" t="s">
        <v>782</v>
      </c>
      <c r="B48" s="355"/>
      <c r="C48" s="355"/>
      <c r="D48" s="355"/>
      <c r="E48" s="355"/>
      <c r="F48" s="355"/>
      <c r="G48" s="355"/>
      <c r="H48" s="355"/>
    </row>
    <row r="49" spans="1:8">
      <c r="A49" s="355" t="s">
        <v>783</v>
      </c>
      <c r="B49" s="355"/>
      <c r="C49" s="355"/>
      <c r="D49" s="355"/>
      <c r="E49" s="355"/>
      <c r="F49" s="355"/>
      <c r="G49" s="355"/>
      <c r="H49" s="355"/>
    </row>
    <row r="50" spans="1:8">
      <c r="A50" s="355" t="s">
        <v>784</v>
      </c>
      <c r="B50" s="355"/>
      <c r="C50" s="355"/>
      <c r="D50" s="355"/>
      <c r="E50" s="355"/>
      <c r="F50" s="355"/>
      <c r="G50" s="355"/>
      <c r="H50" s="355"/>
    </row>
    <row r="51" spans="1:8">
      <c r="A51" s="355"/>
      <c r="B51" s="355"/>
      <c r="C51" s="355"/>
      <c r="D51" s="355"/>
      <c r="E51" s="355"/>
      <c r="F51" s="355"/>
      <c r="G51" s="355"/>
      <c r="H51" s="355"/>
    </row>
    <row r="52" spans="1:8">
      <c r="A52" s="356" t="s">
        <v>785</v>
      </c>
      <c r="B52" s="356"/>
      <c r="C52" s="356"/>
      <c r="D52" s="356"/>
      <c r="E52" s="356"/>
      <c r="F52" s="356"/>
      <c r="G52" s="356"/>
      <c r="H52" s="355"/>
    </row>
    <row r="53" spans="1:8">
      <c r="A53" s="356" t="s">
        <v>786</v>
      </c>
      <c r="B53" s="356"/>
      <c r="C53" s="356"/>
      <c r="D53" s="356"/>
      <c r="E53" s="356"/>
      <c r="F53" s="356"/>
      <c r="G53" s="356"/>
      <c r="H53" s="355"/>
    </row>
    <row r="54" spans="1:8">
      <c r="A54" s="355"/>
      <c r="B54" s="355"/>
      <c r="C54" s="355"/>
      <c r="D54" s="355"/>
      <c r="E54" s="355"/>
      <c r="F54" s="355"/>
      <c r="G54" s="355"/>
      <c r="H54" s="355"/>
    </row>
    <row r="55" spans="1:8">
      <c r="A55" s="355" t="s">
        <v>787</v>
      </c>
      <c r="B55" s="355"/>
      <c r="C55" s="355"/>
      <c r="D55" s="355"/>
      <c r="E55" s="355"/>
      <c r="F55" s="355"/>
      <c r="G55" s="355"/>
      <c r="H55" s="355"/>
    </row>
    <row r="56" spans="1:8">
      <c r="A56" s="355" t="s">
        <v>788</v>
      </c>
      <c r="B56" s="355"/>
      <c r="C56" s="355"/>
      <c r="D56" s="355"/>
      <c r="E56" s="355"/>
      <c r="F56" s="355"/>
      <c r="G56" s="355"/>
      <c r="H56" s="355"/>
    </row>
    <row r="57" spans="1:8">
      <c r="A57" s="355" t="s">
        <v>789</v>
      </c>
      <c r="B57" s="355"/>
      <c r="C57" s="355"/>
      <c r="D57" s="355"/>
      <c r="E57" s="355"/>
      <c r="F57" s="355"/>
      <c r="G57" s="355"/>
      <c r="H57" s="355"/>
    </row>
    <row r="58" spans="1:8">
      <c r="A58" s="355" t="s">
        <v>790</v>
      </c>
      <c r="B58" s="355"/>
      <c r="C58" s="355"/>
      <c r="D58" s="355"/>
      <c r="E58" s="355"/>
      <c r="F58" s="355"/>
      <c r="G58" s="355"/>
      <c r="H58" s="355"/>
    </row>
    <row r="59" spans="1:8">
      <c r="A59" s="355"/>
      <c r="B59" s="355"/>
      <c r="C59" s="355"/>
      <c r="D59" s="355"/>
      <c r="E59" s="355"/>
      <c r="F59" s="355"/>
      <c r="G59" s="355"/>
      <c r="H59" s="355"/>
    </row>
    <row r="60" spans="1:8">
      <c r="A60" s="355" t="s">
        <v>791</v>
      </c>
      <c r="B60" s="355"/>
      <c r="C60" s="355"/>
      <c r="D60" s="355"/>
      <c r="E60" s="355"/>
      <c r="F60" s="355"/>
      <c r="G60" s="355"/>
      <c r="H60" s="355"/>
    </row>
    <row r="61" spans="1:8">
      <c r="A61" s="355" t="s">
        <v>792</v>
      </c>
      <c r="B61" s="355"/>
      <c r="C61" s="355"/>
      <c r="D61" s="355"/>
      <c r="E61" s="355"/>
      <c r="F61" s="355"/>
      <c r="G61" s="355"/>
      <c r="H61" s="355"/>
    </row>
    <row r="62" spans="1:8">
      <c r="A62" s="355" t="s">
        <v>793</v>
      </c>
      <c r="B62" s="355"/>
      <c r="C62" s="355"/>
      <c r="D62" s="355"/>
      <c r="E62" s="355"/>
      <c r="F62" s="355"/>
      <c r="G62" s="355"/>
      <c r="H62" s="355"/>
    </row>
    <row r="63" spans="1:8">
      <c r="A63" s="355" t="s">
        <v>794</v>
      </c>
      <c r="B63" s="355"/>
      <c r="C63" s="355"/>
      <c r="D63" s="355"/>
      <c r="E63" s="355"/>
      <c r="F63" s="355"/>
      <c r="G63" s="355"/>
      <c r="H63" s="355"/>
    </row>
    <row r="64" spans="1:8">
      <c r="A64" s="355" t="s">
        <v>795</v>
      </c>
      <c r="B64" s="355"/>
      <c r="C64" s="355"/>
      <c r="D64" s="355"/>
      <c r="E64" s="355"/>
      <c r="F64" s="355"/>
      <c r="G64" s="355"/>
      <c r="H64" s="355"/>
    </row>
    <row r="65" spans="1:8">
      <c r="A65" s="355" t="s">
        <v>796</v>
      </c>
      <c r="B65" s="355"/>
      <c r="C65" s="355"/>
      <c r="D65" s="355"/>
      <c r="E65" s="355"/>
      <c r="F65" s="355"/>
      <c r="G65" s="355"/>
      <c r="H65" s="355"/>
    </row>
    <row r="66" spans="1:8">
      <c r="A66" s="355"/>
      <c r="B66" s="355"/>
      <c r="C66" s="355"/>
      <c r="D66" s="355"/>
      <c r="E66" s="355"/>
      <c r="F66" s="355"/>
      <c r="G66" s="355"/>
      <c r="H66" s="355"/>
    </row>
    <row r="67" spans="1:8">
      <c r="A67" s="355" t="s">
        <v>797</v>
      </c>
      <c r="B67" s="355"/>
      <c r="C67" s="355"/>
      <c r="D67" s="355"/>
      <c r="E67" s="355"/>
      <c r="F67" s="355"/>
      <c r="G67" s="355"/>
      <c r="H67" s="355"/>
    </row>
    <row r="68" spans="1:8">
      <c r="A68" s="355" t="s">
        <v>798</v>
      </c>
      <c r="B68" s="355"/>
      <c r="C68" s="355"/>
      <c r="D68" s="355"/>
      <c r="E68" s="355"/>
      <c r="F68" s="355"/>
      <c r="G68" s="355"/>
      <c r="H68" s="355"/>
    </row>
    <row r="69" spans="1:8">
      <c r="A69" s="355" t="s">
        <v>799</v>
      </c>
      <c r="B69" s="355"/>
      <c r="C69" s="355"/>
      <c r="D69" s="355"/>
      <c r="E69" s="355"/>
      <c r="F69" s="355"/>
      <c r="G69" s="355"/>
      <c r="H69" s="355"/>
    </row>
    <row r="70" spans="1:8">
      <c r="A70" s="355" t="s">
        <v>800</v>
      </c>
      <c r="B70" s="355"/>
      <c r="C70" s="355"/>
      <c r="D70" s="355"/>
      <c r="E70" s="355"/>
      <c r="F70" s="355"/>
      <c r="G70" s="355"/>
      <c r="H70" s="355"/>
    </row>
    <row r="71" spans="1:8">
      <c r="A71" s="355" t="s">
        <v>801</v>
      </c>
      <c r="B71" s="355"/>
      <c r="C71" s="355"/>
      <c r="D71" s="355"/>
      <c r="E71" s="355"/>
      <c r="F71" s="355"/>
      <c r="G71" s="355"/>
      <c r="H71" s="355"/>
    </row>
    <row r="72" spans="1:8">
      <c r="A72" s="355" t="s">
        <v>802</v>
      </c>
      <c r="B72" s="355"/>
      <c r="C72" s="355"/>
      <c r="D72" s="355"/>
      <c r="E72" s="355"/>
      <c r="F72" s="355"/>
      <c r="G72" s="355"/>
      <c r="H72" s="355"/>
    </row>
    <row r="73" spans="1:8">
      <c r="A73" s="355" t="s">
        <v>803</v>
      </c>
      <c r="B73" s="355"/>
      <c r="C73" s="355"/>
      <c r="D73" s="355"/>
      <c r="E73" s="355"/>
      <c r="F73" s="355"/>
      <c r="G73" s="355"/>
      <c r="H73" s="355"/>
    </row>
    <row r="74" spans="1:8">
      <c r="A74" s="355"/>
      <c r="B74" s="355"/>
      <c r="C74" s="355"/>
      <c r="D74" s="355"/>
      <c r="E74" s="355"/>
      <c r="F74" s="355"/>
      <c r="G74" s="355"/>
      <c r="H74" s="355"/>
    </row>
    <row r="75" spans="1:8">
      <c r="A75" s="355" t="s">
        <v>804</v>
      </c>
      <c r="B75" s="355"/>
      <c r="C75" s="355"/>
      <c r="D75" s="355"/>
      <c r="E75" s="355"/>
      <c r="F75" s="355"/>
      <c r="G75" s="355"/>
      <c r="H75" s="355"/>
    </row>
    <row r="76" spans="1:8">
      <c r="A76" s="355" t="s">
        <v>805</v>
      </c>
      <c r="B76" s="355"/>
      <c r="C76" s="355"/>
      <c r="D76" s="355"/>
      <c r="E76" s="355"/>
      <c r="F76" s="355"/>
      <c r="G76" s="355"/>
      <c r="H76" s="355"/>
    </row>
    <row r="77" spans="1:8">
      <c r="A77" s="355" t="s">
        <v>806</v>
      </c>
      <c r="B77" s="355"/>
      <c r="C77" s="355"/>
      <c r="D77" s="355"/>
      <c r="E77" s="355"/>
      <c r="F77" s="355"/>
      <c r="G77" s="355"/>
      <c r="H77" s="355"/>
    </row>
    <row r="78" spans="1:8">
      <c r="A78" s="355"/>
      <c r="B78" s="355"/>
      <c r="C78" s="355"/>
      <c r="D78" s="355"/>
      <c r="E78" s="355"/>
      <c r="F78" s="355"/>
      <c r="G78" s="355"/>
      <c r="H78" s="355"/>
    </row>
    <row r="79" spans="1:8">
      <c r="A79" s="355" t="s">
        <v>751</v>
      </c>
    </row>
    <row r="80" spans="1:8">
      <c r="A80" s="356"/>
    </row>
    <row r="81" spans="1:1">
      <c r="A81" s="355"/>
    </row>
    <row r="82" spans="1:1">
      <c r="A82" s="355"/>
    </row>
    <row r="83" spans="1:1">
      <c r="A83" s="355"/>
    </row>
    <row r="84" spans="1:1">
      <c r="A84" s="355"/>
    </row>
    <row r="85" spans="1:1">
      <c r="A85" s="355"/>
    </row>
    <row r="86" spans="1:1">
      <c r="A86" s="355"/>
    </row>
    <row r="87" spans="1:1">
      <c r="A87" s="355"/>
    </row>
    <row r="88" spans="1:1">
      <c r="A88" s="355"/>
    </row>
    <row r="89" spans="1:1">
      <c r="A89" s="355"/>
    </row>
    <row r="90" spans="1:1">
      <c r="A90" s="355"/>
    </row>
    <row r="91" spans="1:1">
      <c r="A91" s="355"/>
    </row>
    <row r="92" spans="1:1">
      <c r="A92" s="355"/>
    </row>
    <row r="93" spans="1:1">
      <c r="A93" s="355"/>
    </row>
    <row r="94" spans="1:1">
      <c r="A94" s="355"/>
    </row>
    <row r="95" spans="1:1">
      <c r="A95" s="355"/>
    </row>
    <row r="96" spans="1:1">
      <c r="A96" s="355"/>
    </row>
    <row r="97" spans="1:1">
      <c r="A97" s="355"/>
    </row>
    <row r="98" spans="1:1">
      <c r="A98" s="355"/>
    </row>
    <row r="99" spans="1:1">
      <c r="A99" s="355"/>
    </row>
    <row r="100" spans="1:1">
      <c r="A100" s="355"/>
    </row>
    <row r="101" spans="1:1">
      <c r="A101" s="355"/>
    </row>
    <row r="103" spans="1:1">
      <c r="A103" s="355"/>
    </row>
    <row r="104" spans="1:1">
      <c r="A104" s="355"/>
    </row>
    <row r="105" spans="1:1">
      <c r="A105" s="355"/>
    </row>
    <row r="107" spans="1:1">
      <c r="A107" s="356"/>
    </row>
    <row r="108" spans="1:1">
      <c r="A108" s="356"/>
    </row>
    <row r="109" spans="1:1">
      <c r="A109" s="356"/>
    </row>
  </sheetData>
  <sheetProtection sheet="1"/>
  <phoneticPr fontId="0" type="noConversion"/>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sheetPr>
    <tabColor rgb="FFFF0000"/>
  </sheetPr>
  <dimension ref="A3:L62"/>
  <sheetViews>
    <sheetView workbookViewId="0"/>
  </sheetViews>
  <sheetFormatPr defaultRowHeight="15"/>
  <cols>
    <col min="1" max="1" width="71.33203125" customWidth="1"/>
  </cols>
  <sheetData>
    <row r="3" spans="1:12">
      <c r="A3" s="354" t="s">
        <v>807</v>
      </c>
      <c r="B3" s="354"/>
      <c r="C3" s="354"/>
      <c r="D3" s="354"/>
      <c r="E3" s="354"/>
      <c r="F3" s="354"/>
      <c r="G3" s="354"/>
      <c r="H3" s="354"/>
      <c r="I3" s="354"/>
      <c r="J3" s="354"/>
      <c r="K3" s="354"/>
      <c r="L3" s="354"/>
    </row>
    <row r="4" spans="1:12">
      <c r="A4" s="354"/>
      <c r="B4" s="354"/>
      <c r="C4" s="354"/>
      <c r="D4" s="354"/>
      <c r="E4" s="354"/>
      <c r="F4" s="354"/>
      <c r="G4" s="354"/>
      <c r="H4" s="354"/>
      <c r="I4" s="354"/>
      <c r="J4" s="354"/>
      <c r="K4" s="354"/>
      <c r="L4" s="354"/>
    </row>
    <row r="5" spans="1:12">
      <c r="A5" s="355" t="s">
        <v>704</v>
      </c>
      <c r="I5" s="354"/>
      <c r="J5" s="354"/>
      <c r="K5" s="354"/>
      <c r="L5" s="354"/>
    </row>
    <row r="6" spans="1:12">
      <c r="A6" s="355" t="str">
        <f ca="1">CONCATENATE("estimated ",inputPrYr!D6-1," 'total expenditures' exceed your ",inputPrYr!D6-1,"")</f>
        <v>estimated 2013 'total expenditures' exceed your 2013</v>
      </c>
      <c r="I6" s="354"/>
      <c r="J6" s="354"/>
      <c r="K6" s="354"/>
      <c r="L6" s="354"/>
    </row>
    <row r="7" spans="1:12">
      <c r="A7" s="358" t="s">
        <v>808</v>
      </c>
      <c r="I7" s="354"/>
      <c r="J7" s="354"/>
      <c r="K7" s="354"/>
      <c r="L7" s="354"/>
    </row>
    <row r="8" spans="1:12">
      <c r="A8" s="355"/>
      <c r="I8" s="354"/>
      <c r="J8" s="354"/>
      <c r="K8" s="354"/>
      <c r="L8" s="354"/>
    </row>
    <row r="9" spans="1:12">
      <c r="A9" s="355" t="s">
        <v>809</v>
      </c>
      <c r="I9" s="354"/>
      <c r="J9" s="354"/>
      <c r="K9" s="354"/>
      <c r="L9" s="354"/>
    </row>
    <row r="10" spans="1:12">
      <c r="A10" s="355" t="s">
        <v>810</v>
      </c>
      <c r="I10" s="354"/>
      <c r="J10" s="354"/>
      <c r="K10" s="354"/>
      <c r="L10" s="354"/>
    </row>
    <row r="11" spans="1:12">
      <c r="A11" s="355" t="s">
        <v>811</v>
      </c>
      <c r="I11" s="354"/>
      <c r="J11" s="354"/>
      <c r="K11" s="354"/>
      <c r="L11" s="354"/>
    </row>
    <row r="12" spans="1:12">
      <c r="A12" s="355" t="s">
        <v>812</v>
      </c>
      <c r="I12" s="354"/>
      <c r="J12" s="354"/>
      <c r="K12" s="354"/>
      <c r="L12" s="354"/>
    </row>
    <row r="13" spans="1:12">
      <c r="A13" s="355" t="s">
        <v>813</v>
      </c>
      <c r="I13" s="354"/>
      <c r="J13" s="354"/>
      <c r="K13" s="354"/>
      <c r="L13" s="354"/>
    </row>
    <row r="14" spans="1:12">
      <c r="A14" s="354"/>
      <c r="B14" s="354"/>
      <c r="C14" s="354"/>
      <c r="D14" s="354"/>
      <c r="E14" s="354"/>
      <c r="F14" s="354"/>
      <c r="G14" s="354"/>
      <c r="H14" s="354"/>
      <c r="I14" s="354"/>
      <c r="J14" s="354"/>
      <c r="K14" s="354"/>
      <c r="L14" s="354"/>
    </row>
    <row r="15" spans="1:12">
      <c r="A15" s="356" t="s">
        <v>814</v>
      </c>
    </row>
    <row r="16" spans="1:12">
      <c r="A16" s="356" t="s">
        <v>815</v>
      </c>
    </row>
    <row r="17" spans="1:7">
      <c r="A17" s="356"/>
    </row>
    <row r="18" spans="1:7">
      <c r="A18" s="355" t="s">
        <v>4</v>
      </c>
      <c r="B18" s="355"/>
      <c r="C18" s="355"/>
      <c r="D18" s="355"/>
      <c r="E18" s="355"/>
      <c r="F18" s="355"/>
      <c r="G18" s="355"/>
    </row>
    <row r="19" spans="1:7">
      <c r="A19" s="355" t="str">
        <f ca="1">CONCATENATE("your ",inputPrYr!D6-1," numbers to see what steps might be necessary to")</f>
        <v>your 2013 numbers to see what steps might be necessary to</v>
      </c>
      <c r="B19" s="355"/>
      <c r="C19" s="355"/>
      <c r="D19" s="355"/>
      <c r="E19" s="355"/>
      <c r="F19" s="355"/>
      <c r="G19" s="355"/>
    </row>
    <row r="20" spans="1:7">
      <c r="A20" s="355" t="s">
        <v>5</v>
      </c>
      <c r="B20" s="355"/>
      <c r="C20" s="355"/>
      <c r="D20" s="355"/>
      <c r="E20" s="355"/>
      <c r="F20" s="355"/>
      <c r="G20" s="355"/>
    </row>
    <row r="21" spans="1:7">
      <c r="A21" s="355" t="s">
        <v>6</v>
      </c>
      <c r="B21" s="355"/>
      <c r="C21" s="355"/>
      <c r="D21" s="355"/>
      <c r="E21" s="355"/>
      <c r="F21" s="355"/>
      <c r="G21" s="355"/>
    </row>
    <row r="22" spans="1:7">
      <c r="A22" s="355"/>
    </row>
    <row r="23" spans="1:7">
      <c r="A23" s="356" t="s">
        <v>7</v>
      </c>
    </row>
    <row r="24" spans="1:7">
      <c r="A24" s="356"/>
    </row>
    <row r="25" spans="1:7">
      <c r="A25" s="355" t="s">
        <v>8</v>
      </c>
    </row>
    <row r="26" spans="1:7">
      <c r="A26" s="355" t="s">
        <v>9</v>
      </c>
      <c r="B26" s="355"/>
      <c r="C26" s="355"/>
      <c r="D26" s="355"/>
      <c r="E26" s="355"/>
      <c r="F26" s="355"/>
    </row>
    <row r="27" spans="1:7">
      <c r="A27" s="355" t="s">
        <v>10</v>
      </c>
      <c r="B27" s="355"/>
      <c r="C27" s="355"/>
      <c r="D27" s="355"/>
      <c r="E27" s="355"/>
      <c r="F27" s="355"/>
    </row>
    <row r="28" spans="1:7">
      <c r="A28" s="355" t="s">
        <v>11</v>
      </c>
      <c r="B28" s="355"/>
      <c r="C28" s="355"/>
      <c r="D28" s="355"/>
      <c r="E28" s="355"/>
      <c r="F28" s="355"/>
    </row>
    <row r="29" spans="1:7">
      <c r="A29" s="355"/>
      <c r="B29" s="355"/>
      <c r="C29" s="355"/>
      <c r="D29" s="355"/>
      <c r="E29" s="355"/>
      <c r="F29" s="355"/>
    </row>
    <row r="30" spans="1:7">
      <c r="A30" s="356" t="s">
        <v>12</v>
      </c>
      <c r="B30" s="356"/>
      <c r="C30" s="356"/>
      <c r="D30" s="356"/>
      <c r="E30" s="356"/>
      <c r="F30" s="356"/>
      <c r="G30" s="356"/>
    </row>
    <row r="31" spans="1:7">
      <c r="A31" s="356" t="s">
        <v>13</v>
      </c>
      <c r="B31" s="356"/>
      <c r="C31" s="356"/>
      <c r="D31" s="356"/>
      <c r="E31" s="356"/>
      <c r="F31" s="356"/>
      <c r="G31" s="356"/>
    </row>
    <row r="32" spans="1:7">
      <c r="A32" s="355"/>
      <c r="B32" s="355"/>
      <c r="C32" s="355"/>
      <c r="D32" s="355"/>
      <c r="E32" s="355"/>
      <c r="F32" s="355"/>
    </row>
    <row r="33" spans="1:6">
      <c r="A33" s="349" t="str">
        <f ca="1">CONCATENATE("Well, let's look to see if any of your ",inputPrYr!D6-1," expenditures can")</f>
        <v>Well, let's look to see if any of your 2013 expenditures can</v>
      </c>
      <c r="B33" s="355"/>
      <c r="C33" s="355"/>
      <c r="D33" s="355"/>
      <c r="E33" s="355"/>
      <c r="F33" s="355"/>
    </row>
    <row r="34" spans="1:6">
      <c r="A34" s="349" t="s">
        <v>14</v>
      </c>
      <c r="B34" s="355"/>
      <c r="C34" s="355"/>
      <c r="D34" s="355"/>
      <c r="E34" s="355"/>
      <c r="F34" s="355"/>
    </row>
    <row r="35" spans="1:6">
      <c r="A35" s="349" t="s">
        <v>718</v>
      </c>
      <c r="B35" s="355"/>
      <c r="C35" s="355"/>
      <c r="D35" s="355"/>
      <c r="E35" s="355"/>
      <c r="F35" s="355"/>
    </row>
    <row r="36" spans="1:6">
      <c r="A36" s="349" t="s">
        <v>719</v>
      </c>
      <c r="B36" s="355"/>
      <c r="C36" s="355"/>
      <c r="D36" s="355"/>
      <c r="E36" s="355"/>
      <c r="F36" s="355"/>
    </row>
    <row r="37" spans="1:6">
      <c r="A37" s="349"/>
      <c r="B37" s="355"/>
      <c r="C37" s="355"/>
      <c r="D37" s="355"/>
      <c r="E37" s="355"/>
      <c r="F37" s="355"/>
    </row>
    <row r="38" spans="1:6">
      <c r="A38" s="349" t="str">
        <f ca="1">CONCATENATE("Additionally, do your ",inputPrYr!D6-1," receipts contain a reimbursement")</f>
        <v>Additionally, do your 2013 receipts contain a reimbursement</v>
      </c>
      <c r="B38" s="355"/>
      <c r="C38" s="355"/>
      <c r="D38" s="355"/>
      <c r="E38" s="355"/>
      <c r="F38" s="355"/>
    </row>
    <row r="39" spans="1:6">
      <c r="A39" s="349" t="s">
        <v>720</v>
      </c>
      <c r="B39" s="355"/>
      <c r="C39" s="355"/>
      <c r="D39" s="355"/>
      <c r="E39" s="355"/>
      <c r="F39" s="355"/>
    </row>
    <row r="40" spans="1:6">
      <c r="A40" s="349" t="s">
        <v>721</v>
      </c>
      <c r="B40" s="355"/>
      <c r="C40" s="355"/>
      <c r="D40" s="355"/>
      <c r="E40" s="355"/>
      <c r="F40" s="355"/>
    </row>
    <row r="41" spans="1:6">
      <c r="A41" s="349"/>
      <c r="B41" s="355"/>
      <c r="C41" s="355"/>
      <c r="D41" s="355"/>
      <c r="E41" s="355"/>
      <c r="F41" s="355"/>
    </row>
    <row r="42" spans="1:6">
      <c r="A42" s="349" t="s">
        <v>15</v>
      </c>
      <c r="B42" s="355"/>
      <c r="C42" s="355"/>
      <c r="D42" s="355"/>
      <c r="E42" s="355"/>
      <c r="F42" s="355"/>
    </row>
    <row r="43" spans="1:6">
      <c r="A43" s="349" t="s">
        <v>16</v>
      </c>
      <c r="B43" s="355"/>
      <c r="C43" s="355"/>
      <c r="D43" s="355"/>
      <c r="E43" s="355"/>
      <c r="F43" s="355"/>
    </row>
    <row r="44" spans="1:6">
      <c r="A44" s="349" t="s">
        <v>17</v>
      </c>
      <c r="B44" s="355"/>
      <c r="C44" s="355"/>
      <c r="D44" s="355"/>
      <c r="E44" s="355"/>
      <c r="F44" s="355"/>
    </row>
    <row r="45" spans="1:6">
      <c r="A45" s="349" t="s">
        <v>18</v>
      </c>
      <c r="B45" s="355"/>
      <c r="C45" s="355"/>
      <c r="D45" s="355"/>
      <c r="E45" s="355"/>
      <c r="F45" s="355"/>
    </row>
    <row r="46" spans="1:6">
      <c r="A46" s="349" t="s">
        <v>19</v>
      </c>
      <c r="B46" s="355"/>
      <c r="C46" s="355"/>
      <c r="D46" s="355"/>
      <c r="E46" s="355"/>
      <c r="F46" s="355"/>
    </row>
    <row r="47" spans="1:6">
      <c r="A47" s="349"/>
      <c r="B47" s="355"/>
      <c r="C47" s="355"/>
      <c r="D47" s="355"/>
      <c r="E47" s="355"/>
      <c r="F47" s="355"/>
    </row>
    <row r="48" spans="1:6">
      <c r="A48" s="350" t="s">
        <v>20</v>
      </c>
      <c r="B48" s="355"/>
      <c r="C48" s="355"/>
      <c r="D48" s="355"/>
      <c r="E48" s="355"/>
      <c r="F48" s="355"/>
    </row>
    <row r="49" spans="1:6">
      <c r="A49" s="350" t="s">
        <v>21</v>
      </c>
      <c r="B49" s="355"/>
      <c r="C49" s="355"/>
      <c r="D49" s="355"/>
      <c r="E49" s="355"/>
      <c r="F49" s="355"/>
    </row>
    <row r="50" spans="1:6">
      <c r="A50" s="350" t="s">
        <v>22</v>
      </c>
      <c r="B50" s="355"/>
      <c r="C50" s="355"/>
      <c r="D50" s="355"/>
      <c r="E50" s="355"/>
      <c r="F50" s="355"/>
    </row>
    <row r="51" spans="1:6">
      <c r="A51" s="350" t="s">
        <v>23</v>
      </c>
    </row>
    <row r="52" spans="1:6">
      <c r="A52" s="350" t="s">
        <v>24</v>
      </c>
    </row>
    <row r="53" spans="1:6">
      <c r="A53" s="350" t="s">
        <v>25</v>
      </c>
    </row>
    <row r="55" spans="1:6">
      <c r="A55" s="355" t="s">
        <v>26</v>
      </c>
    </row>
    <row r="56" spans="1:6">
      <c r="A56" s="355" t="s">
        <v>27</v>
      </c>
    </row>
    <row r="57" spans="1:6">
      <c r="A57" s="355" t="s">
        <v>28</v>
      </c>
    </row>
    <row r="58" spans="1:6">
      <c r="A58" s="355" t="s">
        <v>29</v>
      </c>
    </row>
    <row r="59" spans="1:6">
      <c r="A59" s="355" t="s">
        <v>30</v>
      </c>
    </row>
    <row r="60" spans="1:6">
      <c r="A60" s="355" t="s">
        <v>31</v>
      </c>
    </row>
    <row r="62" spans="1:6">
      <c r="A62" s="355" t="s">
        <v>751</v>
      </c>
    </row>
  </sheetData>
  <sheetProtection sheet="1"/>
  <phoneticPr fontId="0" type="noConversion"/>
  <pageMargins left="0.7" right="0.7" top="0.75" bottom="0.75" header="0.3" footer="0.3"/>
  <pageSetup orientation="portrait" blackAndWhite="1" r:id="rId1"/>
</worksheet>
</file>

<file path=xl/worksheets/sheet23.xml><?xml version="1.0" encoding="utf-8"?>
<worksheet xmlns="http://schemas.openxmlformats.org/spreadsheetml/2006/main" xmlns:r="http://schemas.openxmlformats.org/officeDocument/2006/relationships">
  <sheetPr>
    <tabColor rgb="FFFF0000"/>
  </sheetPr>
  <dimension ref="A3:G106"/>
  <sheetViews>
    <sheetView workbookViewId="0"/>
  </sheetViews>
  <sheetFormatPr defaultRowHeight="15"/>
  <cols>
    <col min="1" max="1" width="71.33203125" customWidth="1"/>
  </cols>
  <sheetData>
    <row r="3" spans="1:7">
      <c r="A3" s="354" t="s">
        <v>32</v>
      </c>
      <c r="B3" s="354"/>
      <c r="C3" s="354"/>
      <c r="D3" s="354"/>
      <c r="E3" s="354"/>
      <c r="F3" s="354"/>
      <c r="G3" s="354"/>
    </row>
    <row r="4" spans="1:7">
      <c r="A4" s="354"/>
      <c r="B4" s="354"/>
      <c r="C4" s="354"/>
      <c r="D4" s="354"/>
      <c r="E4" s="354"/>
      <c r="F4" s="354"/>
      <c r="G4" s="354"/>
    </row>
    <row r="5" spans="1:7">
      <c r="A5" s="355" t="s">
        <v>753</v>
      </c>
    </row>
    <row r="6" spans="1:7">
      <c r="A6" s="355" t="str">
        <f ca="1">CONCATENATE(inputPrYr!D6-1," estimated expenditures show that at the end of this year")</f>
        <v>2013 estimated expenditures show that at the end of this year</v>
      </c>
    </row>
    <row r="7" spans="1:7">
      <c r="A7" s="355" t="s">
        <v>33</v>
      </c>
    </row>
    <row r="8" spans="1:7">
      <c r="A8" s="355" t="s">
        <v>34</v>
      </c>
    </row>
    <row r="10" spans="1:7">
      <c r="A10" t="s">
        <v>755</v>
      </c>
    </row>
    <row r="11" spans="1:7">
      <c r="A11" t="s">
        <v>756</v>
      </c>
    </row>
    <row r="12" spans="1:7">
      <c r="A12" t="s">
        <v>757</v>
      </c>
    </row>
    <row r="13" spans="1:7">
      <c r="A13" s="354"/>
      <c r="B13" s="354"/>
      <c r="C13" s="354"/>
      <c r="D13" s="354"/>
      <c r="E13" s="354"/>
      <c r="F13" s="354"/>
      <c r="G13" s="354"/>
    </row>
    <row r="14" spans="1:7">
      <c r="A14" s="356" t="s">
        <v>35</v>
      </c>
    </row>
    <row r="15" spans="1:7">
      <c r="A15" s="355"/>
    </row>
    <row r="16" spans="1:7">
      <c r="A16" s="355" t="s">
        <v>36</v>
      </c>
    </row>
    <row r="17" spans="1:7">
      <c r="A17" s="355" t="s">
        <v>37</v>
      </c>
    </row>
    <row r="18" spans="1:7">
      <c r="A18" s="355" t="s">
        <v>38</v>
      </c>
    </row>
    <row r="19" spans="1:7">
      <c r="A19" s="355"/>
    </row>
    <row r="20" spans="1:7">
      <c r="A20" s="355" t="s">
        <v>39</v>
      </c>
    </row>
    <row r="21" spans="1:7">
      <c r="A21" s="355" t="s">
        <v>40</v>
      </c>
    </row>
    <row r="22" spans="1:7">
      <c r="A22" s="355" t="s">
        <v>41</v>
      </c>
    </row>
    <row r="23" spans="1:7">
      <c r="A23" s="355" t="s">
        <v>42</v>
      </c>
    </row>
    <row r="24" spans="1:7">
      <c r="A24" s="355"/>
    </row>
    <row r="25" spans="1:7">
      <c r="A25" s="356" t="s">
        <v>7</v>
      </c>
    </row>
    <row r="26" spans="1:7">
      <c r="A26" s="356"/>
    </row>
    <row r="27" spans="1:7">
      <c r="A27" s="355" t="s">
        <v>8</v>
      </c>
    </row>
    <row r="28" spans="1:7">
      <c r="A28" s="355" t="s">
        <v>9</v>
      </c>
      <c r="B28" s="355"/>
      <c r="C28" s="355"/>
      <c r="D28" s="355"/>
      <c r="E28" s="355"/>
      <c r="F28" s="355"/>
    </row>
    <row r="29" spans="1:7">
      <c r="A29" s="355" t="s">
        <v>10</v>
      </c>
      <c r="B29" s="355"/>
      <c r="C29" s="355"/>
      <c r="D29" s="355"/>
      <c r="E29" s="355"/>
      <c r="F29" s="355"/>
    </row>
    <row r="30" spans="1:7">
      <c r="A30" s="355" t="s">
        <v>11</v>
      </c>
      <c r="B30" s="355"/>
      <c r="C30" s="355"/>
      <c r="D30" s="355"/>
      <c r="E30" s="355"/>
      <c r="F30" s="355"/>
    </row>
    <row r="31" spans="1:7">
      <c r="A31" s="355"/>
    </row>
    <row r="32" spans="1:7">
      <c r="A32" s="356" t="s">
        <v>12</v>
      </c>
      <c r="B32" s="356"/>
      <c r="C32" s="356"/>
      <c r="D32" s="356"/>
      <c r="E32" s="356"/>
      <c r="F32" s="356"/>
      <c r="G32" s="356"/>
    </row>
    <row r="33" spans="1:7">
      <c r="A33" s="356" t="s">
        <v>13</v>
      </c>
      <c r="B33" s="356"/>
      <c r="C33" s="356"/>
      <c r="D33" s="356"/>
      <c r="E33" s="356"/>
      <c r="F33" s="356"/>
      <c r="G33" s="356"/>
    </row>
    <row r="34" spans="1:7">
      <c r="A34" s="356"/>
      <c r="B34" s="356"/>
      <c r="C34" s="356"/>
      <c r="D34" s="356"/>
      <c r="E34" s="356"/>
      <c r="F34" s="356"/>
      <c r="G34" s="356"/>
    </row>
    <row r="35" spans="1:7">
      <c r="A35" s="355" t="s">
        <v>43</v>
      </c>
      <c r="B35" s="355"/>
      <c r="C35" s="355"/>
      <c r="D35" s="355"/>
      <c r="E35" s="355"/>
      <c r="F35" s="355"/>
      <c r="G35" s="355"/>
    </row>
    <row r="36" spans="1:7">
      <c r="A36" s="355" t="s">
        <v>44</v>
      </c>
      <c r="B36" s="355"/>
      <c r="C36" s="355"/>
      <c r="D36" s="355"/>
      <c r="E36" s="355"/>
      <c r="F36" s="355"/>
      <c r="G36" s="355"/>
    </row>
    <row r="37" spans="1:7">
      <c r="A37" s="355" t="s">
        <v>45</v>
      </c>
      <c r="B37" s="355"/>
      <c r="C37" s="355"/>
      <c r="D37" s="355"/>
      <c r="E37" s="355"/>
      <c r="F37" s="355"/>
      <c r="G37" s="355"/>
    </row>
    <row r="38" spans="1:7">
      <c r="A38" s="355" t="s">
        <v>46</v>
      </c>
      <c r="B38" s="355"/>
      <c r="C38" s="355"/>
      <c r="D38" s="355"/>
      <c r="E38" s="355"/>
      <c r="F38" s="355"/>
      <c r="G38" s="355"/>
    </row>
    <row r="39" spans="1:7">
      <c r="A39" s="355" t="s">
        <v>47</v>
      </c>
      <c r="B39" s="355"/>
      <c r="C39" s="355"/>
      <c r="D39" s="355"/>
      <c r="E39" s="355"/>
      <c r="F39" s="355"/>
      <c r="G39" s="355"/>
    </row>
    <row r="40" spans="1:7">
      <c r="A40" s="356"/>
      <c r="B40" s="356"/>
      <c r="C40" s="356"/>
      <c r="D40" s="356"/>
      <c r="E40" s="356"/>
      <c r="F40" s="356"/>
      <c r="G40" s="356"/>
    </row>
    <row r="41" spans="1:7">
      <c r="A41" s="349" t="str">
        <f ca="1">CONCATENATE("So, let's look to see if any of your ",inputPrYr!D6-1," expenditures can")</f>
        <v>So, let's look to see if any of your 2013 expenditures can</v>
      </c>
      <c r="B41" s="355"/>
      <c r="C41" s="355"/>
      <c r="D41" s="355"/>
      <c r="E41" s="355"/>
      <c r="F41" s="355"/>
    </row>
    <row r="42" spans="1:7">
      <c r="A42" s="349" t="s">
        <v>14</v>
      </c>
      <c r="B42" s="355"/>
      <c r="C42" s="355"/>
      <c r="D42" s="355"/>
      <c r="E42" s="355"/>
      <c r="F42" s="355"/>
    </row>
    <row r="43" spans="1:7">
      <c r="A43" s="349" t="s">
        <v>718</v>
      </c>
      <c r="B43" s="355"/>
      <c r="C43" s="355"/>
      <c r="D43" s="355"/>
      <c r="E43" s="355"/>
      <c r="F43" s="355"/>
    </row>
    <row r="44" spans="1:7">
      <c r="A44" s="349" t="s">
        <v>719</v>
      </c>
      <c r="B44" s="355"/>
      <c r="C44" s="355"/>
      <c r="D44" s="355"/>
      <c r="E44" s="355"/>
      <c r="F44" s="355"/>
    </row>
    <row r="45" spans="1:7">
      <c r="A45" s="355"/>
    </row>
    <row r="46" spans="1:7">
      <c r="A46" s="349" t="str">
        <f ca="1">CONCATENATE("Additionally, do your ",inputPrYr!D6-1," receipts contain a reimbursement")</f>
        <v>Additionally, do your 2013 receipts contain a reimbursement</v>
      </c>
      <c r="B46" s="355"/>
      <c r="C46" s="355"/>
      <c r="D46" s="355"/>
      <c r="E46" s="355"/>
      <c r="F46" s="355"/>
    </row>
    <row r="47" spans="1:7">
      <c r="A47" s="349" t="s">
        <v>720</v>
      </c>
      <c r="B47" s="355"/>
      <c r="C47" s="355"/>
      <c r="D47" s="355"/>
      <c r="E47" s="355"/>
      <c r="F47" s="355"/>
    </row>
    <row r="48" spans="1:7">
      <c r="A48" s="349" t="s">
        <v>721</v>
      </c>
      <c r="B48" s="355"/>
      <c r="C48" s="355"/>
      <c r="D48" s="355"/>
      <c r="E48" s="355"/>
      <c r="F48" s="355"/>
    </row>
    <row r="49" spans="1:7">
      <c r="A49" s="355"/>
      <c r="B49" s="355"/>
      <c r="C49" s="355"/>
      <c r="D49" s="355"/>
      <c r="E49" s="355"/>
      <c r="F49" s="355"/>
      <c r="G49" s="355"/>
    </row>
    <row r="50" spans="1:7">
      <c r="A50" s="355" t="s">
        <v>780</v>
      </c>
      <c r="B50" s="355"/>
      <c r="C50" s="355"/>
      <c r="D50" s="355"/>
      <c r="E50" s="355"/>
      <c r="F50" s="355"/>
      <c r="G50" s="355"/>
    </row>
    <row r="51" spans="1:7">
      <c r="A51" s="355" t="s">
        <v>781</v>
      </c>
      <c r="B51" s="355"/>
      <c r="C51" s="355"/>
      <c r="D51" s="355"/>
      <c r="E51" s="355"/>
      <c r="F51" s="355"/>
      <c r="G51" s="355"/>
    </row>
    <row r="52" spans="1:7">
      <c r="A52" s="355" t="s">
        <v>782</v>
      </c>
      <c r="B52" s="355"/>
      <c r="C52" s="355"/>
      <c r="D52" s="355"/>
      <c r="E52" s="355"/>
      <c r="F52" s="355"/>
      <c r="G52" s="355"/>
    </row>
    <row r="53" spans="1:7">
      <c r="A53" s="355" t="s">
        <v>783</v>
      </c>
      <c r="B53" s="355"/>
      <c r="C53" s="355"/>
      <c r="D53" s="355"/>
      <c r="E53" s="355"/>
      <c r="F53" s="355"/>
      <c r="G53" s="355"/>
    </row>
    <row r="54" spans="1:7">
      <c r="A54" s="355" t="s">
        <v>784</v>
      </c>
      <c r="B54" s="355"/>
      <c r="C54" s="355"/>
      <c r="D54" s="355"/>
      <c r="E54" s="355"/>
      <c r="F54" s="355"/>
      <c r="G54" s="355"/>
    </row>
    <row r="55" spans="1:7">
      <c r="A55" s="355"/>
      <c r="B55" s="355"/>
      <c r="C55" s="355"/>
      <c r="D55" s="355"/>
      <c r="E55" s="355"/>
      <c r="F55" s="355"/>
      <c r="G55" s="355"/>
    </row>
    <row r="56" spans="1:7">
      <c r="A56" s="349" t="s">
        <v>722</v>
      </c>
      <c r="B56" s="355"/>
      <c r="C56" s="355"/>
      <c r="D56" s="355"/>
      <c r="E56" s="355"/>
      <c r="F56" s="355"/>
    </row>
    <row r="57" spans="1:7">
      <c r="A57" s="349" t="s">
        <v>723</v>
      </c>
      <c r="B57" s="355"/>
      <c r="C57" s="355"/>
      <c r="D57" s="355"/>
      <c r="E57" s="355"/>
      <c r="F57" s="355"/>
    </row>
    <row r="58" spans="1:7">
      <c r="A58" s="349" t="s">
        <v>724</v>
      </c>
      <c r="B58" s="355"/>
      <c r="C58" s="355"/>
      <c r="D58" s="355"/>
      <c r="E58" s="355"/>
      <c r="F58" s="355"/>
    </row>
    <row r="59" spans="1:7">
      <c r="A59" s="349"/>
      <c r="B59" s="355"/>
      <c r="C59" s="355"/>
      <c r="D59" s="355"/>
      <c r="E59" s="355"/>
      <c r="F59" s="355"/>
    </row>
    <row r="60" spans="1:7">
      <c r="A60" s="355" t="s">
        <v>48</v>
      </c>
      <c r="B60" s="355"/>
      <c r="C60" s="355"/>
      <c r="D60" s="355"/>
      <c r="E60" s="355"/>
      <c r="F60" s="355"/>
      <c r="G60" s="355"/>
    </row>
    <row r="61" spans="1:7">
      <c r="A61" s="355" t="s">
        <v>49</v>
      </c>
      <c r="B61" s="355"/>
      <c r="C61" s="355"/>
      <c r="D61" s="355"/>
      <c r="E61" s="355"/>
      <c r="F61" s="355"/>
      <c r="G61" s="355"/>
    </row>
    <row r="62" spans="1:7">
      <c r="A62" s="355" t="s">
        <v>50</v>
      </c>
      <c r="B62" s="355"/>
      <c r="C62" s="355"/>
      <c r="D62" s="355"/>
      <c r="E62" s="355"/>
      <c r="F62" s="355"/>
      <c r="G62" s="355"/>
    </row>
    <row r="63" spans="1:7">
      <c r="A63" s="355" t="s">
        <v>51</v>
      </c>
      <c r="B63" s="355"/>
      <c r="C63" s="355"/>
      <c r="D63" s="355"/>
      <c r="E63" s="355"/>
      <c r="F63" s="355"/>
      <c r="G63" s="355"/>
    </row>
    <row r="64" spans="1:7">
      <c r="A64" s="355" t="s">
        <v>52</v>
      </c>
      <c r="B64" s="355"/>
      <c r="C64" s="355"/>
      <c r="D64" s="355"/>
      <c r="E64" s="355"/>
      <c r="F64" s="355"/>
      <c r="G64" s="355"/>
    </row>
    <row r="66" spans="1:6">
      <c r="A66" s="349" t="s">
        <v>15</v>
      </c>
      <c r="B66" s="355"/>
      <c r="C66" s="355"/>
      <c r="D66" s="355"/>
      <c r="E66" s="355"/>
      <c r="F66" s="355"/>
    </row>
    <row r="67" spans="1:6">
      <c r="A67" s="349" t="s">
        <v>16</v>
      </c>
      <c r="B67" s="355"/>
      <c r="C67" s="355"/>
      <c r="D67" s="355"/>
      <c r="E67" s="355"/>
      <c r="F67" s="355"/>
    </row>
    <row r="68" spans="1:6">
      <c r="A68" s="349" t="s">
        <v>17</v>
      </c>
      <c r="B68" s="355"/>
      <c r="C68" s="355"/>
      <c r="D68" s="355"/>
      <c r="E68" s="355"/>
      <c r="F68" s="355"/>
    </row>
    <row r="69" spans="1:6">
      <c r="A69" s="349" t="s">
        <v>18</v>
      </c>
      <c r="B69" s="355"/>
      <c r="C69" s="355"/>
      <c r="D69" s="355"/>
      <c r="E69" s="355"/>
      <c r="F69" s="355"/>
    </row>
    <row r="70" spans="1:6">
      <c r="A70" s="349" t="s">
        <v>19</v>
      </c>
      <c r="B70" s="355"/>
      <c r="C70" s="355"/>
      <c r="D70" s="355"/>
      <c r="E70" s="355"/>
      <c r="F70" s="355"/>
    </row>
    <row r="71" spans="1:6">
      <c r="A71" s="355"/>
    </row>
    <row r="72" spans="1:6">
      <c r="A72" s="355" t="s">
        <v>751</v>
      </c>
    </row>
    <row r="73" spans="1:6">
      <c r="A73" s="355"/>
    </row>
    <row r="74" spans="1:6">
      <c r="A74" s="355"/>
    </row>
    <row r="75" spans="1:6">
      <c r="A75" s="355"/>
    </row>
    <row r="78" spans="1:6">
      <c r="A78" s="356"/>
    </row>
    <row r="80" spans="1:6">
      <c r="A80" s="355"/>
    </row>
    <row r="81" spans="1:1">
      <c r="A81" s="355"/>
    </row>
    <row r="82" spans="1:1">
      <c r="A82" s="355"/>
    </row>
    <row r="83" spans="1:1">
      <c r="A83" s="355"/>
    </row>
    <row r="84" spans="1:1">
      <c r="A84" s="355"/>
    </row>
    <row r="85" spans="1:1">
      <c r="A85" s="355"/>
    </row>
    <row r="86" spans="1:1">
      <c r="A86" s="355"/>
    </row>
    <row r="87" spans="1:1">
      <c r="A87" s="355"/>
    </row>
    <row r="88" spans="1:1">
      <c r="A88" s="355"/>
    </row>
    <row r="89" spans="1:1">
      <c r="A89" s="355"/>
    </row>
    <row r="90" spans="1:1">
      <c r="A90" s="355"/>
    </row>
    <row r="92" spans="1:1">
      <c r="A92" s="355"/>
    </row>
    <row r="93" spans="1:1">
      <c r="A93" s="355"/>
    </row>
    <row r="94" spans="1:1">
      <c r="A94" s="355"/>
    </row>
    <row r="95" spans="1:1">
      <c r="A95" s="355"/>
    </row>
    <row r="96" spans="1:1">
      <c r="A96" s="355"/>
    </row>
    <row r="97" spans="1:1">
      <c r="A97" s="355"/>
    </row>
    <row r="98" spans="1:1">
      <c r="A98" s="355"/>
    </row>
    <row r="99" spans="1:1">
      <c r="A99" s="355"/>
    </row>
    <row r="100" spans="1:1">
      <c r="A100" s="355"/>
    </row>
    <row r="101" spans="1:1">
      <c r="A101" s="355"/>
    </row>
    <row r="102" spans="1:1">
      <c r="A102" s="355"/>
    </row>
    <row r="103" spans="1:1">
      <c r="A103" s="355"/>
    </row>
    <row r="104" spans="1:1">
      <c r="A104" s="355"/>
    </row>
    <row r="105" spans="1:1">
      <c r="A105" s="355"/>
    </row>
    <row r="106" spans="1:1">
      <c r="A106" s="355"/>
    </row>
  </sheetData>
  <sheetProtection sheet="1"/>
  <phoneticPr fontId="0" type="noConversion"/>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sheetPr>
    <tabColor rgb="FFFF0000"/>
  </sheetPr>
  <dimension ref="A3:H52"/>
  <sheetViews>
    <sheetView workbookViewId="0"/>
  </sheetViews>
  <sheetFormatPr defaultRowHeight="15"/>
  <cols>
    <col min="1" max="1" width="71.33203125" customWidth="1"/>
  </cols>
  <sheetData>
    <row r="3" spans="1:7">
      <c r="A3" s="354" t="s">
        <v>53</v>
      </c>
      <c r="B3" s="354"/>
      <c r="C3" s="354"/>
      <c r="D3" s="354"/>
      <c r="E3" s="354"/>
      <c r="F3" s="354"/>
      <c r="G3" s="354"/>
    </row>
    <row r="4" spans="1:7">
      <c r="A4" s="354" t="s">
        <v>54</v>
      </c>
      <c r="B4" s="354"/>
      <c r="C4" s="354"/>
      <c r="D4" s="354"/>
      <c r="E4" s="354"/>
      <c r="F4" s="354"/>
      <c r="G4" s="354"/>
    </row>
    <row r="5" spans="1:7">
      <c r="A5" s="354"/>
      <c r="B5" s="354"/>
      <c r="C5" s="354"/>
      <c r="D5" s="354"/>
      <c r="E5" s="354"/>
      <c r="F5" s="354"/>
      <c r="G5" s="354"/>
    </row>
    <row r="6" spans="1:7">
      <c r="A6" s="354"/>
      <c r="B6" s="354"/>
      <c r="C6" s="354"/>
      <c r="D6" s="354"/>
      <c r="E6" s="354"/>
      <c r="F6" s="354"/>
      <c r="G6" s="354"/>
    </row>
    <row r="7" spans="1:7">
      <c r="A7" s="355" t="s">
        <v>704</v>
      </c>
    </row>
    <row r="8" spans="1:7">
      <c r="A8" s="355" t="str">
        <f ca="1">CONCATENATE("estimated ",inputPrYr!D6," 'total expenditures' exceed your ",inputPrYr!D6,"")</f>
        <v>estimated 2014 'total expenditures' exceed your 2014</v>
      </c>
    </row>
    <row r="9" spans="1:7">
      <c r="A9" s="358" t="s">
        <v>55</v>
      </c>
    </row>
    <row r="10" spans="1:7">
      <c r="A10" s="355"/>
    </row>
    <row r="11" spans="1:7">
      <c r="A11" s="355" t="s">
        <v>56</v>
      </c>
    </row>
    <row r="12" spans="1:7">
      <c r="A12" s="355" t="s">
        <v>57</v>
      </c>
    </row>
    <row r="13" spans="1:7">
      <c r="A13" s="355" t="s">
        <v>58</v>
      </c>
    </row>
    <row r="14" spans="1:7">
      <c r="A14" s="355"/>
    </row>
    <row r="15" spans="1:7">
      <c r="A15" s="356" t="s">
        <v>300</v>
      </c>
    </row>
    <row r="16" spans="1:7">
      <c r="A16" s="354"/>
      <c r="B16" s="354"/>
      <c r="C16" s="354"/>
      <c r="D16" s="354"/>
      <c r="E16" s="354"/>
      <c r="F16" s="354"/>
      <c r="G16" s="354"/>
    </row>
    <row r="17" spans="1:8">
      <c r="A17" s="359" t="s">
        <v>301</v>
      </c>
      <c r="B17" s="351"/>
      <c r="C17" s="351"/>
      <c r="D17" s="351"/>
      <c r="E17" s="351"/>
      <c r="F17" s="351"/>
      <c r="G17" s="351"/>
      <c r="H17" s="351"/>
    </row>
    <row r="18" spans="1:8">
      <c r="A18" s="355" t="s">
        <v>302</v>
      </c>
      <c r="B18" s="360"/>
      <c r="C18" s="360"/>
      <c r="D18" s="360"/>
      <c r="E18" s="360"/>
      <c r="F18" s="360"/>
      <c r="G18" s="360"/>
    </row>
    <row r="19" spans="1:8">
      <c r="A19" s="355" t="s">
        <v>303</v>
      </c>
    </row>
    <row r="20" spans="1:8">
      <c r="A20" s="355" t="s">
        <v>304</v>
      </c>
    </row>
    <row r="22" spans="1:8">
      <c r="A22" s="356" t="s">
        <v>305</v>
      </c>
    </row>
    <row r="24" spans="1:8">
      <c r="A24" s="355" t="s">
        <v>306</v>
      </c>
    </row>
    <row r="25" spans="1:8">
      <c r="A25" s="355" t="s">
        <v>307</v>
      </c>
    </row>
    <row r="26" spans="1:8">
      <c r="A26" s="355" t="s">
        <v>308</v>
      </c>
    </row>
    <row r="28" spans="1:8">
      <c r="A28" s="356" t="s">
        <v>309</v>
      </c>
    </row>
    <row r="30" spans="1:8">
      <c r="A30" t="s">
        <v>310</v>
      </c>
    </row>
    <row r="31" spans="1:8">
      <c r="A31" t="s">
        <v>311</v>
      </c>
    </row>
    <row r="32" spans="1:8">
      <c r="A32" t="s">
        <v>312</v>
      </c>
    </row>
    <row r="33" spans="1:1">
      <c r="A33" s="355" t="s">
        <v>313</v>
      </c>
    </row>
    <row r="35" spans="1:1">
      <c r="A35" t="s">
        <v>314</v>
      </c>
    </row>
    <row r="36" spans="1:1">
      <c r="A36" t="s">
        <v>315</v>
      </c>
    </row>
    <row r="37" spans="1:1">
      <c r="A37" t="s">
        <v>316</v>
      </c>
    </row>
    <row r="38" spans="1:1">
      <c r="A38" t="s">
        <v>317</v>
      </c>
    </row>
    <row r="40" spans="1:1">
      <c r="A40" t="s">
        <v>318</v>
      </c>
    </row>
    <row r="41" spans="1:1">
      <c r="A41" t="s">
        <v>319</v>
      </c>
    </row>
    <row r="42" spans="1:1">
      <c r="A42" t="s">
        <v>320</v>
      </c>
    </row>
    <row r="43" spans="1:1">
      <c r="A43" t="s">
        <v>321</v>
      </c>
    </row>
    <row r="44" spans="1:1">
      <c r="A44" t="s">
        <v>322</v>
      </c>
    </row>
    <row r="45" spans="1:1">
      <c r="A45" t="s">
        <v>323</v>
      </c>
    </row>
    <row r="47" spans="1:1">
      <c r="A47" t="s">
        <v>324</v>
      </c>
    </row>
    <row r="48" spans="1:1">
      <c r="A48" t="s">
        <v>325</v>
      </c>
    </row>
    <row r="49" spans="1:1">
      <c r="A49" s="355" t="s">
        <v>326</v>
      </c>
    </row>
    <row r="50" spans="1:1">
      <c r="A50" s="355" t="s">
        <v>327</v>
      </c>
    </row>
    <row r="52" spans="1:1">
      <c r="A52" t="s">
        <v>751</v>
      </c>
    </row>
  </sheetData>
  <sheetProtection sheet="1"/>
  <phoneticPr fontId="0" type="noConversion"/>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dimension ref="A1:X354"/>
  <sheetViews>
    <sheetView workbookViewId="0">
      <selection sqref="A1:IV65536"/>
    </sheetView>
  </sheetViews>
  <sheetFormatPr defaultRowHeight="14.25"/>
  <cols>
    <col min="1" max="1" width="7.5546875" style="394" customWidth="1"/>
    <col min="2" max="2" width="11.21875" style="395" customWidth="1"/>
    <col min="3" max="3" width="7.44140625" style="395" customWidth="1"/>
    <col min="4" max="4" width="8.88671875" style="395"/>
    <col min="5" max="5" width="1.5546875" style="395" customWidth="1"/>
    <col min="6" max="6" width="14.33203125" style="395" customWidth="1"/>
    <col min="7" max="7" width="2.5546875" style="395" customWidth="1"/>
    <col min="8" max="8" width="9.77734375" style="395" customWidth="1"/>
    <col min="9" max="9" width="2" style="395" customWidth="1"/>
    <col min="10" max="10" width="8.5546875" style="395" customWidth="1"/>
    <col min="11" max="11" width="11.6640625" style="395" customWidth="1"/>
    <col min="12" max="12" width="7.5546875" style="394" customWidth="1"/>
    <col min="13" max="14" width="8.88671875" style="394"/>
    <col min="15" max="15" width="9.88671875" style="394" bestFit="1" customWidth="1"/>
    <col min="16" max="16384" width="8.88671875" style="394"/>
  </cols>
  <sheetData>
    <row r="1" spans="1:12">
      <c r="A1" s="393"/>
      <c r="B1" s="393"/>
      <c r="C1" s="393"/>
      <c r="D1" s="393"/>
      <c r="E1" s="393"/>
      <c r="F1" s="393"/>
      <c r="G1" s="393"/>
      <c r="H1" s="393"/>
      <c r="I1" s="393"/>
      <c r="J1" s="393"/>
      <c r="K1" s="393"/>
      <c r="L1" s="393"/>
    </row>
    <row r="2" spans="1:12">
      <c r="A2" s="393"/>
      <c r="B2" s="393"/>
      <c r="C2" s="393"/>
      <c r="D2" s="393"/>
      <c r="E2" s="393"/>
      <c r="F2" s="393"/>
      <c r="G2" s="393"/>
      <c r="H2" s="393"/>
      <c r="I2" s="393"/>
      <c r="J2" s="393"/>
      <c r="K2" s="393"/>
      <c r="L2" s="393"/>
    </row>
    <row r="3" spans="1:12">
      <c r="A3" s="393"/>
      <c r="B3" s="393"/>
      <c r="C3" s="393"/>
      <c r="D3" s="393"/>
      <c r="E3" s="393"/>
      <c r="F3" s="393"/>
      <c r="G3" s="393"/>
      <c r="H3" s="393"/>
      <c r="I3" s="393"/>
      <c r="J3" s="393"/>
      <c r="K3" s="393"/>
      <c r="L3" s="393"/>
    </row>
    <row r="4" spans="1:12">
      <c r="A4" s="393"/>
      <c r="L4" s="393"/>
    </row>
    <row r="5" spans="1:12" ht="15" customHeight="1">
      <c r="A5" s="393"/>
      <c r="L5" s="393"/>
    </row>
    <row r="6" spans="1:12" ht="33" customHeight="1">
      <c r="A6" s="393"/>
      <c r="B6" s="736" t="s">
        <v>108</v>
      </c>
      <c r="C6" s="737"/>
      <c r="D6" s="737"/>
      <c r="E6" s="737"/>
      <c r="F6" s="737"/>
      <c r="G6" s="737"/>
      <c r="H6" s="737"/>
      <c r="I6" s="737"/>
      <c r="J6" s="737"/>
      <c r="K6" s="737"/>
      <c r="L6" s="396"/>
    </row>
    <row r="7" spans="1:12" ht="40.5" customHeight="1">
      <c r="A7" s="393"/>
      <c r="B7" s="738" t="s">
        <v>109</v>
      </c>
      <c r="C7" s="739"/>
      <c r="D7" s="739"/>
      <c r="E7" s="739"/>
      <c r="F7" s="739"/>
      <c r="G7" s="739"/>
      <c r="H7" s="739"/>
      <c r="I7" s="739"/>
      <c r="J7" s="739"/>
      <c r="K7" s="739"/>
      <c r="L7" s="393"/>
    </row>
    <row r="8" spans="1:12">
      <c r="A8" s="393"/>
      <c r="B8" s="730" t="s">
        <v>110</v>
      </c>
      <c r="C8" s="730"/>
      <c r="D8" s="730"/>
      <c r="E8" s="730"/>
      <c r="F8" s="730"/>
      <c r="G8" s="730"/>
      <c r="H8" s="730"/>
      <c r="I8" s="730"/>
      <c r="J8" s="730"/>
      <c r="K8" s="730"/>
      <c r="L8" s="393"/>
    </row>
    <row r="9" spans="1:12">
      <c r="A9" s="393"/>
      <c r="L9" s="393"/>
    </row>
    <row r="10" spans="1:12">
      <c r="A10" s="393"/>
      <c r="B10" s="730" t="s">
        <v>111</v>
      </c>
      <c r="C10" s="730"/>
      <c r="D10" s="730"/>
      <c r="E10" s="730"/>
      <c r="F10" s="730"/>
      <c r="G10" s="730"/>
      <c r="H10" s="730"/>
      <c r="I10" s="730"/>
      <c r="J10" s="730"/>
      <c r="K10" s="730"/>
      <c r="L10" s="393"/>
    </row>
    <row r="11" spans="1:12">
      <c r="A11" s="393"/>
      <c r="B11" s="532"/>
      <c r="C11" s="532"/>
      <c r="D11" s="532"/>
      <c r="E11" s="532"/>
      <c r="F11" s="532"/>
      <c r="G11" s="532"/>
      <c r="H11" s="532"/>
      <c r="I11" s="532"/>
      <c r="J11" s="532"/>
      <c r="K11" s="532"/>
      <c r="L11" s="393"/>
    </row>
    <row r="12" spans="1:12" ht="32.25" customHeight="1">
      <c r="A12" s="393"/>
      <c r="B12" s="731" t="s">
        <v>112</v>
      </c>
      <c r="C12" s="731"/>
      <c r="D12" s="731"/>
      <c r="E12" s="731"/>
      <c r="F12" s="731"/>
      <c r="G12" s="731"/>
      <c r="H12" s="731"/>
      <c r="I12" s="731"/>
      <c r="J12" s="731"/>
      <c r="K12" s="731"/>
      <c r="L12" s="393"/>
    </row>
    <row r="13" spans="1:12">
      <c r="A13" s="393"/>
      <c r="L13" s="393"/>
    </row>
    <row r="14" spans="1:12">
      <c r="A14" s="393"/>
      <c r="B14" s="397" t="s">
        <v>113</v>
      </c>
      <c r="L14" s="393"/>
    </row>
    <row r="15" spans="1:12">
      <c r="A15" s="393"/>
      <c r="L15" s="393"/>
    </row>
    <row r="16" spans="1:12">
      <c r="A16" s="393"/>
      <c r="B16" s="395" t="s">
        <v>114</v>
      </c>
      <c r="L16" s="393"/>
    </row>
    <row r="17" spans="1:12">
      <c r="A17" s="393"/>
      <c r="B17" s="395" t="s">
        <v>115</v>
      </c>
      <c r="L17" s="393"/>
    </row>
    <row r="18" spans="1:12">
      <c r="A18" s="393"/>
      <c r="L18" s="393"/>
    </row>
    <row r="19" spans="1:12">
      <c r="A19" s="393"/>
      <c r="B19" s="397" t="s">
        <v>241</v>
      </c>
      <c r="L19" s="393"/>
    </row>
    <row r="20" spans="1:12">
      <c r="A20" s="393"/>
      <c r="B20" s="397"/>
      <c r="L20" s="393"/>
    </row>
    <row r="21" spans="1:12">
      <c r="A21" s="393"/>
      <c r="B21" s="395" t="s">
        <v>242</v>
      </c>
      <c r="L21" s="393"/>
    </row>
    <row r="22" spans="1:12">
      <c r="A22" s="393"/>
      <c r="L22" s="393"/>
    </row>
    <row r="23" spans="1:12">
      <c r="A23" s="393"/>
      <c r="B23" s="395" t="s">
        <v>116</v>
      </c>
      <c r="E23" s="395" t="s">
        <v>117</v>
      </c>
      <c r="F23" s="727">
        <v>312000000</v>
      </c>
      <c r="G23" s="727"/>
      <c r="L23" s="393"/>
    </row>
    <row r="24" spans="1:12">
      <c r="A24" s="393"/>
      <c r="L24" s="393"/>
    </row>
    <row r="25" spans="1:12">
      <c r="A25" s="393"/>
      <c r="C25" s="734">
        <f>F23</f>
        <v>312000000</v>
      </c>
      <c r="D25" s="734"/>
      <c r="E25" s="395" t="s">
        <v>118</v>
      </c>
      <c r="F25" s="398">
        <v>1000</v>
      </c>
      <c r="G25" s="398" t="s">
        <v>117</v>
      </c>
      <c r="H25" s="533">
        <f>F23/F25</f>
        <v>312000</v>
      </c>
      <c r="L25" s="393"/>
    </row>
    <row r="26" spans="1:12" ht="15" thickBot="1">
      <c r="A26" s="393"/>
      <c r="L26" s="393"/>
    </row>
    <row r="27" spans="1:12">
      <c r="A27" s="393"/>
      <c r="B27" s="399" t="s">
        <v>113</v>
      </c>
      <c r="C27" s="400"/>
      <c r="D27" s="400"/>
      <c r="E27" s="400"/>
      <c r="F27" s="400"/>
      <c r="G27" s="400"/>
      <c r="H27" s="400"/>
      <c r="I27" s="400"/>
      <c r="J27" s="400"/>
      <c r="K27" s="401"/>
      <c r="L27" s="393"/>
    </row>
    <row r="28" spans="1:12">
      <c r="A28" s="393"/>
      <c r="B28" s="402">
        <f>F23</f>
        <v>312000000</v>
      </c>
      <c r="C28" s="403" t="s">
        <v>119</v>
      </c>
      <c r="D28" s="403"/>
      <c r="E28" s="403" t="s">
        <v>118</v>
      </c>
      <c r="F28" s="528">
        <v>1000</v>
      </c>
      <c r="G28" s="528" t="s">
        <v>117</v>
      </c>
      <c r="H28" s="404">
        <f>B28/F28</f>
        <v>312000</v>
      </c>
      <c r="I28" s="403" t="s">
        <v>120</v>
      </c>
      <c r="J28" s="403"/>
      <c r="K28" s="405"/>
      <c r="L28" s="393"/>
    </row>
    <row r="29" spans="1:12" ht="15" thickBot="1">
      <c r="A29" s="393"/>
      <c r="B29" s="406"/>
      <c r="C29" s="407"/>
      <c r="D29" s="407"/>
      <c r="E29" s="407"/>
      <c r="F29" s="407"/>
      <c r="G29" s="407"/>
      <c r="H29" s="407"/>
      <c r="I29" s="407"/>
      <c r="J29" s="407"/>
      <c r="K29" s="408"/>
      <c r="L29" s="393"/>
    </row>
    <row r="30" spans="1:12" ht="40.5" customHeight="1">
      <c r="A30" s="393"/>
      <c r="B30" s="735" t="s">
        <v>109</v>
      </c>
      <c r="C30" s="735"/>
      <c r="D30" s="735"/>
      <c r="E30" s="735"/>
      <c r="F30" s="735"/>
      <c r="G30" s="735"/>
      <c r="H30" s="735"/>
      <c r="I30" s="735"/>
      <c r="J30" s="735"/>
      <c r="K30" s="735"/>
      <c r="L30" s="393"/>
    </row>
    <row r="31" spans="1:12">
      <c r="A31" s="393"/>
      <c r="B31" s="730" t="s">
        <v>121</v>
      </c>
      <c r="C31" s="730"/>
      <c r="D31" s="730"/>
      <c r="E31" s="730"/>
      <c r="F31" s="730"/>
      <c r="G31" s="730"/>
      <c r="H31" s="730"/>
      <c r="I31" s="730"/>
      <c r="J31" s="730"/>
      <c r="K31" s="730"/>
      <c r="L31" s="393"/>
    </row>
    <row r="32" spans="1:12">
      <c r="A32" s="393"/>
      <c r="L32" s="393"/>
    </row>
    <row r="33" spans="1:12">
      <c r="A33" s="393"/>
      <c r="B33" s="730" t="s">
        <v>122</v>
      </c>
      <c r="C33" s="730"/>
      <c r="D33" s="730"/>
      <c r="E33" s="730"/>
      <c r="F33" s="730"/>
      <c r="G33" s="730"/>
      <c r="H33" s="730"/>
      <c r="I33" s="730"/>
      <c r="J33" s="730"/>
      <c r="K33" s="730"/>
      <c r="L33" s="393"/>
    </row>
    <row r="34" spans="1:12">
      <c r="A34" s="393"/>
      <c r="L34" s="393"/>
    </row>
    <row r="35" spans="1:12" ht="89.25" customHeight="1">
      <c r="A35" s="393"/>
      <c r="B35" s="731" t="s">
        <v>123</v>
      </c>
      <c r="C35" s="732"/>
      <c r="D35" s="732"/>
      <c r="E35" s="732"/>
      <c r="F35" s="732"/>
      <c r="G35" s="732"/>
      <c r="H35" s="732"/>
      <c r="I35" s="732"/>
      <c r="J35" s="732"/>
      <c r="K35" s="732"/>
      <c r="L35" s="393"/>
    </row>
    <row r="36" spans="1:12">
      <c r="A36" s="393"/>
      <c r="L36" s="393"/>
    </row>
    <row r="37" spans="1:12">
      <c r="A37" s="393"/>
      <c r="B37" s="397" t="s">
        <v>124</v>
      </c>
      <c r="L37" s="393"/>
    </row>
    <row r="38" spans="1:12">
      <c r="A38" s="393"/>
      <c r="L38" s="393"/>
    </row>
    <row r="39" spans="1:12">
      <c r="A39" s="393"/>
      <c r="B39" s="395" t="s">
        <v>125</v>
      </c>
      <c r="L39" s="393"/>
    </row>
    <row r="40" spans="1:12">
      <c r="A40" s="393"/>
      <c r="L40" s="393"/>
    </row>
    <row r="41" spans="1:12">
      <c r="A41" s="393"/>
      <c r="C41" s="733">
        <v>312000000</v>
      </c>
      <c r="D41" s="733"/>
      <c r="E41" s="395" t="s">
        <v>118</v>
      </c>
      <c r="F41" s="398">
        <v>1000</v>
      </c>
      <c r="G41" s="398" t="s">
        <v>117</v>
      </c>
      <c r="H41" s="409">
        <f>C41/F41</f>
        <v>312000</v>
      </c>
      <c r="L41" s="393"/>
    </row>
    <row r="42" spans="1:12">
      <c r="A42" s="393"/>
      <c r="L42" s="393"/>
    </row>
    <row r="43" spans="1:12">
      <c r="A43" s="393"/>
      <c r="B43" s="395" t="s">
        <v>126</v>
      </c>
      <c r="L43" s="393"/>
    </row>
    <row r="44" spans="1:12">
      <c r="A44" s="393"/>
      <c r="L44" s="393"/>
    </row>
    <row r="45" spans="1:12">
      <c r="A45" s="393"/>
      <c r="B45" s="395" t="s">
        <v>127</v>
      </c>
      <c r="L45" s="393"/>
    </row>
    <row r="46" spans="1:12" ht="15" thickBot="1">
      <c r="A46" s="393"/>
      <c r="L46" s="393"/>
    </row>
    <row r="47" spans="1:12">
      <c r="A47" s="393"/>
      <c r="B47" s="410" t="s">
        <v>113</v>
      </c>
      <c r="C47" s="400"/>
      <c r="D47" s="400"/>
      <c r="E47" s="400"/>
      <c r="F47" s="400"/>
      <c r="G47" s="400"/>
      <c r="H47" s="400"/>
      <c r="I47" s="400"/>
      <c r="J47" s="400"/>
      <c r="K47" s="401"/>
      <c r="L47" s="393"/>
    </row>
    <row r="48" spans="1:12">
      <c r="A48" s="393"/>
      <c r="B48" s="726">
        <v>312000000</v>
      </c>
      <c r="C48" s="727"/>
      <c r="D48" s="403" t="s">
        <v>128</v>
      </c>
      <c r="E48" s="403" t="s">
        <v>118</v>
      </c>
      <c r="F48" s="528">
        <v>1000</v>
      </c>
      <c r="G48" s="528" t="s">
        <v>117</v>
      </c>
      <c r="H48" s="404">
        <f>B48/F48</f>
        <v>312000</v>
      </c>
      <c r="I48" s="403" t="s">
        <v>129</v>
      </c>
      <c r="J48" s="403"/>
      <c r="K48" s="405"/>
      <c r="L48" s="393"/>
    </row>
    <row r="49" spans="1:24">
      <c r="A49" s="393"/>
      <c r="B49" s="411"/>
      <c r="C49" s="403"/>
      <c r="D49" s="403"/>
      <c r="E49" s="403"/>
      <c r="F49" s="403"/>
      <c r="G49" s="403"/>
      <c r="H49" s="403"/>
      <c r="I49" s="403"/>
      <c r="J49" s="403"/>
      <c r="K49" s="405"/>
      <c r="L49" s="393"/>
    </row>
    <row r="50" spans="1:24">
      <c r="A50" s="393"/>
      <c r="B50" s="412">
        <v>50000</v>
      </c>
      <c r="C50" s="403" t="s">
        <v>130</v>
      </c>
      <c r="D50" s="403"/>
      <c r="E50" s="403" t="s">
        <v>118</v>
      </c>
      <c r="F50" s="404">
        <f>H48</f>
        <v>312000</v>
      </c>
      <c r="G50" s="728" t="s">
        <v>131</v>
      </c>
      <c r="H50" s="729"/>
      <c r="I50" s="528" t="s">
        <v>117</v>
      </c>
      <c r="J50" s="413">
        <f>B50/F50</f>
        <v>0.16025641025641027</v>
      </c>
      <c r="K50" s="405"/>
      <c r="L50" s="393"/>
    </row>
    <row r="51" spans="1:24" ht="15" thickBot="1">
      <c r="A51" s="393"/>
      <c r="B51" s="406"/>
      <c r="C51" s="407"/>
      <c r="D51" s="407"/>
      <c r="E51" s="407"/>
      <c r="F51" s="407"/>
      <c r="G51" s="407"/>
      <c r="H51" s="407"/>
      <c r="I51" s="740" t="s">
        <v>132</v>
      </c>
      <c r="J51" s="740"/>
      <c r="K51" s="741"/>
      <c r="L51" s="393"/>
      <c r="O51" s="414"/>
    </row>
    <row r="52" spans="1:24" ht="40.5" customHeight="1">
      <c r="A52" s="393"/>
      <c r="B52" s="735" t="s">
        <v>109</v>
      </c>
      <c r="C52" s="735"/>
      <c r="D52" s="735"/>
      <c r="E52" s="735"/>
      <c r="F52" s="735"/>
      <c r="G52" s="735"/>
      <c r="H52" s="735"/>
      <c r="I52" s="735"/>
      <c r="J52" s="735"/>
      <c r="K52" s="735"/>
      <c r="L52" s="393"/>
    </row>
    <row r="53" spans="1:24">
      <c r="A53" s="393"/>
      <c r="B53" s="730" t="s">
        <v>133</v>
      </c>
      <c r="C53" s="730"/>
      <c r="D53" s="730"/>
      <c r="E53" s="730"/>
      <c r="F53" s="730"/>
      <c r="G53" s="730"/>
      <c r="H53" s="730"/>
      <c r="I53" s="730"/>
      <c r="J53" s="730"/>
      <c r="K53" s="730"/>
      <c r="L53" s="393"/>
    </row>
    <row r="54" spans="1:24">
      <c r="A54" s="393"/>
      <c r="B54" s="532"/>
      <c r="C54" s="532"/>
      <c r="D54" s="532"/>
      <c r="E54" s="532"/>
      <c r="F54" s="532"/>
      <c r="G54" s="532"/>
      <c r="H54" s="532"/>
      <c r="I54" s="532"/>
      <c r="J54" s="532"/>
      <c r="K54" s="532"/>
      <c r="L54" s="393"/>
    </row>
    <row r="55" spans="1:24">
      <c r="A55" s="393"/>
      <c r="B55" s="736" t="s">
        <v>134</v>
      </c>
      <c r="C55" s="736"/>
      <c r="D55" s="736"/>
      <c r="E55" s="736"/>
      <c r="F55" s="736"/>
      <c r="G55" s="736"/>
      <c r="H55" s="736"/>
      <c r="I55" s="736"/>
      <c r="J55" s="736"/>
      <c r="K55" s="736"/>
      <c r="L55" s="393"/>
    </row>
    <row r="56" spans="1:24" ht="15" customHeight="1">
      <c r="A56" s="393"/>
      <c r="L56" s="393"/>
    </row>
    <row r="57" spans="1:24" ht="74.25" customHeight="1">
      <c r="A57" s="393"/>
      <c r="B57" s="731" t="s">
        <v>135</v>
      </c>
      <c r="C57" s="732"/>
      <c r="D57" s="732"/>
      <c r="E57" s="732"/>
      <c r="F57" s="732"/>
      <c r="G57" s="732"/>
      <c r="H57" s="732"/>
      <c r="I57" s="732"/>
      <c r="J57" s="732"/>
      <c r="K57" s="732"/>
      <c r="L57" s="393"/>
      <c r="M57" s="415"/>
      <c r="N57" s="416"/>
      <c r="O57" s="416"/>
      <c r="P57" s="416"/>
      <c r="Q57" s="416"/>
      <c r="R57" s="416"/>
      <c r="S57" s="416"/>
      <c r="T57" s="416"/>
      <c r="U57" s="416"/>
      <c r="V57" s="416"/>
      <c r="W57" s="416"/>
      <c r="X57" s="416"/>
    </row>
    <row r="58" spans="1:24" ht="15" customHeight="1">
      <c r="A58" s="393"/>
      <c r="B58" s="731"/>
      <c r="C58" s="732"/>
      <c r="D58" s="732"/>
      <c r="E58" s="732"/>
      <c r="F58" s="732"/>
      <c r="G58" s="732"/>
      <c r="H58" s="732"/>
      <c r="I58" s="732"/>
      <c r="J58" s="732"/>
      <c r="K58" s="732"/>
      <c r="L58" s="393"/>
      <c r="M58" s="415"/>
      <c r="N58" s="416"/>
      <c r="O58" s="416"/>
      <c r="P58" s="416"/>
      <c r="Q58" s="416"/>
      <c r="R58" s="416"/>
      <c r="S58" s="416"/>
      <c r="T58" s="416"/>
      <c r="U58" s="416"/>
      <c r="V58" s="416"/>
      <c r="W58" s="416"/>
      <c r="X58" s="416"/>
    </row>
    <row r="59" spans="1:24">
      <c r="A59" s="393"/>
      <c r="B59" s="397" t="s">
        <v>124</v>
      </c>
      <c r="L59" s="393"/>
      <c r="M59" s="416"/>
      <c r="N59" s="416"/>
      <c r="O59" s="416"/>
      <c r="P59" s="416"/>
      <c r="Q59" s="416"/>
      <c r="R59" s="416"/>
      <c r="S59" s="416"/>
      <c r="T59" s="416"/>
      <c r="U59" s="416"/>
      <c r="V59" s="416"/>
      <c r="W59" s="416"/>
      <c r="X59" s="416"/>
    </row>
    <row r="60" spans="1:24">
      <c r="A60" s="393"/>
      <c r="L60" s="393"/>
      <c r="M60" s="416"/>
      <c r="N60" s="416"/>
      <c r="O60" s="416"/>
      <c r="P60" s="416"/>
      <c r="Q60" s="416"/>
      <c r="R60" s="416"/>
      <c r="S60" s="416"/>
      <c r="T60" s="416"/>
      <c r="U60" s="416"/>
      <c r="V60" s="416"/>
      <c r="W60" s="416"/>
      <c r="X60" s="416"/>
    </row>
    <row r="61" spans="1:24">
      <c r="A61" s="393"/>
      <c r="B61" s="395" t="s">
        <v>136</v>
      </c>
      <c r="L61" s="393"/>
      <c r="M61" s="416"/>
      <c r="N61" s="416"/>
      <c r="O61" s="416"/>
      <c r="P61" s="416"/>
      <c r="Q61" s="416"/>
      <c r="R61" s="416"/>
      <c r="S61" s="416"/>
      <c r="T61" s="416"/>
      <c r="U61" s="416"/>
      <c r="V61" s="416"/>
      <c r="W61" s="416"/>
      <c r="X61" s="416"/>
    </row>
    <row r="62" spans="1:24">
      <c r="A62" s="393"/>
      <c r="B62" s="395" t="s">
        <v>243</v>
      </c>
      <c r="L62" s="393"/>
      <c r="M62" s="416"/>
      <c r="N62" s="416"/>
      <c r="O62" s="416"/>
      <c r="P62" s="416"/>
      <c r="Q62" s="416"/>
      <c r="R62" s="416"/>
      <c r="S62" s="416"/>
      <c r="T62" s="416"/>
      <c r="U62" s="416"/>
      <c r="V62" s="416"/>
      <c r="W62" s="416"/>
      <c r="X62" s="416"/>
    </row>
    <row r="63" spans="1:24">
      <c r="A63" s="393"/>
      <c r="B63" s="395" t="s">
        <v>244</v>
      </c>
      <c r="L63" s="393"/>
      <c r="M63" s="416"/>
      <c r="N63" s="416"/>
      <c r="O63" s="416"/>
      <c r="P63" s="416"/>
      <c r="Q63" s="416"/>
      <c r="R63" s="416"/>
      <c r="S63" s="416"/>
      <c r="T63" s="416"/>
      <c r="U63" s="416"/>
      <c r="V63" s="416"/>
      <c r="W63" s="416"/>
      <c r="X63" s="416"/>
    </row>
    <row r="64" spans="1:24">
      <c r="A64" s="393"/>
      <c r="L64" s="393"/>
      <c r="M64" s="416"/>
      <c r="N64" s="416"/>
      <c r="O64" s="416"/>
      <c r="P64" s="416"/>
      <c r="Q64" s="416"/>
      <c r="R64" s="416"/>
      <c r="S64" s="416"/>
      <c r="T64" s="416"/>
      <c r="U64" s="416"/>
      <c r="V64" s="416"/>
      <c r="W64" s="416"/>
      <c r="X64" s="416"/>
    </row>
    <row r="65" spans="1:24">
      <c r="A65" s="393"/>
      <c r="B65" s="395" t="s">
        <v>137</v>
      </c>
      <c r="L65" s="393"/>
      <c r="M65" s="416"/>
      <c r="N65" s="416"/>
      <c r="O65" s="416"/>
      <c r="P65" s="416"/>
      <c r="Q65" s="416"/>
      <c r="R65" s="416"/>
      <c r="S65" s="416"/>
      <c r="T65" s="416"/>
      <c r="U65" s="416"/>
      <c r="V65" s="416"/>
      <c r="W65" s="416"/>
      <c r="X65" s="416"/>
    </row>
    <row r="66" spans="1:24">
      <c r="A66" s="393"/>
      <c r="B66" s="395" t="s">
        <v>138</v>
      </c>
      <c r="L66" s="393"/>
      <c r="M66" s="416"/>
      <c r="N66" s="416"/>
      <c r="O66" s="416"/>
      <c r="P66" s="416"/>
      <c r="Q66" s="416"/>
      <c r="R66" s="416"/>
      <c r="S66" s="416"/>
      <c r="T66" s="416"/>
      <c r="U66" s="416"/>
      <c r="V66" s="416"/>
      <c r="W66" s="416"/>
      <c r="X66" s="416"/>
    </row>
    <row r="67" spans="1:24">
      <c r="A67" s="393"/>
      <c r="L67" s="393"/>
      <c r="M67" s="416"/>
      <c r="N67" s="416"/>
      <c r="O67" s="416"/>
      <c r="P67" s="416"/>
      <c r="Q67" s="416"/>
      <c r="R67" s="416"/>
      <c r="S67" s="416"/>
      <c r="T67" s="416"/>
      <c r="U67" s="416"/>
      <c r="V67" s="416"/>
      <c r="W67" s="416"/>
      <c r="X67" s="416"/>
    </row>
    <row r="68" spans="1:24">
      <c r="A68" s="393"/>
      <c r="B68" s="395" t="s">
        <v>139</v>
      </c>
      <c r="L68" s="393"/>
      <c r="M68" s="417"/>
      <c r="N68" s="418"/>
      <c r="O68" s="418"/>
      <c r="P68" s="418"/>
      <c r="Q68" s="418"/>
      <c r="R68" s="418"/>
      <c r="S68" s="418"/>
      <c r="T68" s="418"/>
      <c r="U68" s="418"/>
      <c r="V68" s="418"/>
      <c r="W68" s="418"/>
      <c r="X68" s="416"/>
    </row>
    <row r="69" spans="1:24">
      <c r="A69" s="393"/>
      <c r="B69" s="395" t="s">
        <v>245</v>
      </c>
      <c r="L69" s="393"/>
      <c r="M69" s="416"/>
      <c r="N69" s="416"/>
      <c r="O69" s="416"/>
      <c r="P69" s="416"/>
      <c r="Q69" s="416"/>
      <c r="R69" s="416"/>
      <c r="S69" s="416"/>
      <c r="T69" s="416"/>
      <c r="U69" s="416"/>
      <c r="V69" s="416"/>
      <c r="W69" s="416"/>
      <c r="X69" s="416"/>
    </row>
    <row r="70" spans="1:24">
      <c r="A70" s="393"/>
      <c r="B70" s="395" t="s">
        <v>246</v>
      </c>
      <c r="L70" s="393"/>
      <c r="M70" s="416"/>
      <c r="N70" s="416"/>
      <c r="O70" s="416"/>
      <c r="P70" s="416"/>
      <c r="Q70" s="416"/>
      <c r="R70" s="416"/>
      <c r="S70" s="416"/>
      <c r="T70" s="416"/>
      <c r="U70" s="416"/>
      <c r="V70" s="416"/>
      <c r="W70" s="416"/>
      <c r="X70" s="416"/>
    </row>
    <row r="71" spans="1:24" ht="15" thickBot="1">
      <c r="A71" s="393"/>
      <c r="B71" s="403"/>
      <c r="C71" s="403"/>
      <c r="D71" s="403"/>
      <c r="E71" s="403"/>
      <c r="F71" s="403"/>
      <c r="G71" s="403"/>
      <c r="H71" s="403"/>
      <c r="I71" s="403"/>
      <c r="J71" s="403"/>
      <c r="K71" s="403"/>
      <c r="L71" s="393"/>
    </row>
    <row r="72" spans="1:24">
      <c r="A72" s="393"/>
      <c r="B72" s="399" t="s">
        <v>113</v>
      </c>
      <c r="C72" s="400"/>
      <c r="D72" s="400"/>
      <c r="E72" s="400"/>
      <c r="F72" s="400"/>
      <c r="G72" s="400"/>
      <c r="H72" s="400"/>
      <c r="I72" s="400"/>
      <c r="J72" s="400"/>
      <c r="K72" s="401"/>
      <c r="L72" s="419"/>
    </row>
    <row r="73" spans="1:24">
      <c r="A73" s="393"/>
      <c r="B73" s="411"/>
      <c r="C73" s="403" t="s">
        <v>119</v>
      </c>
      <c r="D73" s="403"/>
      <c r="E73" s="403"/>
      <c r="F73" s="403"/>
      <c r="G73" s="403"/>
      <c r="H73" s="403"/>
      <c r="I73" s="403"/>
      <c r="J73" s="403"/>
      <c r="K73" s="405"/>
      <c r="L73" s="419"/>
    </row>
    <row r="74" spans="1:24">
      <c r="A74" s="393"/>
      <c r="B74" s="411" t="s">
        <v>140</v>
      </c>
      <c r="C74" s="727">
        <v>312000000</v>
      </c>
      <c r="D74" s="727"/>
      <c r="E74" s="528" t="s">
        <v>118</v>
      </c>
      <c r="F74" s="528">
        <v>1000</v>
      </c>
      <c r="G74" s="528" t="s">
        <v>117</v>
      </c>
      <c r="H74" s="525">
        <f>C74/F74</f>
        <v>312000</v>
      </c>
      <c r="I74" s="403" t="s">
        <v>141</v>
      </c>
      <c r="J74" s="403"/>
      <c r="K74" s="405"/>
      <c r="L74" s="419"/>
    </row>
    <row r="75" spans="1:24">
      <c r="A75" s="393"/>
      <c r="B75" s="411"/>
      <c r="C75" s="403"/>
      <c r="D75" s="403"/>
      <c r="E75" s="528"/>
      <c r="F75" s="403"/>
      <c r="G75" s="403"/>
      <c r="H75" s="403"/>
      <c r="I75" s="403"/>
      <c r="J75" s="403"/>
      <c r="K75" s="405"/>
      <c r="L75" s="419"/>
    </row>
    <row r="76" spans="1:24">
      <c r="A76" s="393"/>
      <c r="B76" s="411"/>
      <c r="C76" s="403" t="s">
        <v>142</v>
      </c>
      <c r="D76" s="403"/>
      <c r="E76" s="528"/>
      <c r="F76" s="403" t="s">
        <v>141</v>
      </c>
      <c r="G76" s="403"/>
      <c r="H76" s="403"/>
      <c r="I76" s="403"/>
      <c r="J76" s="403"/>
      <c r="K76" s="405"/>
      <c r="L76" s="419"/>
    </row>
    <row r="77" spans="1:24">
      <c r="A77" s="393"/>
      <c r="B77" s="411" t="s">
        <v>143</v>
      </c>
      <c r="C77" s="727">
        <v>50000</v>
      </c>
      <c r="D77" s="727"/>
      <c r="E77" s="528" t="s">
        <v>118</v>
      </c>
      <c r="F77" s="525">
        <f>H74</f>
        <v>312000</v>
      </c>
      <c r="G77" s="528" t="s">
        <v>117</v>
      </c>
      <c r="H77" s="413">
        <f>C77/F77</f>
        <v>0.16025641025641027</v>
      </c>
      <c r="I77" s="403" t="s">
        <v>144</v>
      </c>
      <c r="J77" s="403"/>
      <c r="K77" s="405"/>
      <c r="L77" s="419"/>
    </row>
    <row r="78" spans="1:24">
      <c r="A78" s="393"/>
      <c r="B78" s="411"/>
      <c r="C78" s="403"/>
      <c r="D78" s="403"/>
      <c r="E78" s="528"/>
      <c r="F78" s="403"/>
      <c r="G78" s="403"/>
      <c r="H78" s="403"/>
      <c r="I78" s="403"/>
      <c r="J78" s="403"/>
      <c r="K78" s="405"/>
      <c r="L78" s="419"/>
    </row>
    <row r="79" spans="1:24">
      <c r="A79" s="393"/>
      <c r="B79" s="420"/>
      <c r="C79" s="421" t="s">
        <v>145</v>
      </c>
      <c r="D79" s="421"/>
      <c r="E79" s="524"/>
      <c r="F79" s="421"/>
      <c r="G79" s="421"/>
      <c r="H79" s="421"/>
      <c r="I79" s="421"/>
      <c r="J79" s="421"/>
      <c r="K79" s="422"/>
      <c r="L79" s="419"/>
    </row>
    <row r="80" spans="1:24">
      <c r="A80" s="393"/>
      <c r="B80" s="411" t="s">
        <v>146</v>
      </c>
      <c r="C80" s="727">
        <v>100000</v>
      </c>
      <c r="D80" s="727"/>
      <c r="E80" s="528" t="s">
        <v>396</v>
      </c>
      <c r="F80" s="528">
        <v>0.115</v>
      </c>
      <c r="G80" s="528" t="s">
        <v>117</v>
      </c>
      <c r="H80" s="525">
        <f>C80*F80</f>
        <v>11500</v>
      </c>
      <c r="I80" s="403" t="s">
        <v>147</v>
      </c>
      <c r="J80" s="403"/>
      <c r="K80" s="405"/>
      <c r="L80" s="419"/>
    </row>
    <row r="81" spans="1:12">
      <c r="A81" s="393"/>
      <c r="B81" s="411"/>
      <c r="C81" s="403"/>
      <c r="D81" s="403"/>
      <c r="E81" s="528"/>
      <c r="F81" s="403"/>
      <c r="G81" s="403"/>
      <c r="H81" s="403"/>
      <c r="I81" s="403"/>
      <c r="J81" s="403"/>
      <c r="K81" s="405"/>
      <c r="L81" s="419"/>
    </row>
    <row r="82" spans="1:12">
      <c r="A82" s="393"/>
      <c r="B82" s="420"/>
      <c r="C82" s="421" t="s">
        <v>148</v>
      </c>
      <c r="D82" s="421"/>
      <c r="E82" s="524"/>
      <c r="F82" s="421" t="s">
        <v>144</v>
      </c>
      <c r="G82" s="421"/>
      <c r="H82" s="421"/>
      <c r="I82" s="421"/>
      <c r="J82" s="421" t="s">
        <v>149</v>
      </c>
      <c r="K82" s="422"/>
      <c r="L82" s="419"/>
    </row>
    <row r="83" spans="1:12">
      <c r="A83" s="393"/>
      <c r="B83" s="411" t="s">
        <v>150</v>
      </c>
      <c r="C83" s="742">
        <f>H80</f>
        <v>11500</v>
      </c>
      <c r="D83" s="742"/>
      <c r="E83" s="528" t="s">
        <v>396</v>
      </c>
      <c r="F83" s="413">
        <f>H77</f>
        <v>0.16025641025641027</v>
      </c>
      <c r="G83" s="528" t="s">
        <v>118</v>
      </c>
      <c r="H83" s="528">
        <v>1000</v>
      </c>
      <c r="I83" s="528" t="s">
        <v>117</v>
      </c>
      <c r="J83" s="526">
        <f>C83*F83/H83</f>
        <v>1.8429487179487181</v>
      </c>
      <c r="K83" s="405"/>
      <c r="L83" s="419"/>
    </row>
    <row r="84" spans="1:12" ht="15" thickBot="1">
      <c r="A84" s="393"/>
      <c r="B84" s="406"/>
      <c r="C84" s="423"/>
      <c r="D84" s="423"/>
      <c r="E84" s="424"/>
      <c r="F84" s="425"/>
      <c r="G84" s="424"/>
      <c r="H84" s="424"/>
      <c r="I84" s="424"/>
      <c r="J84" s="426"/>
      <c r="K84" s="408"/>
      <c r="L84" s="419"/>
    </row>
    <row r="85" spans="1:12" ht="40.5" customHeight="1">
      <c r="A85" s="393"/>
      <c r="B85" s="735" t="s">
        <v>109</v>
      </c>
      <c r="C85" s="735"/>
      <c r="D85" s="735"/>
      <c r="E85" s="735"/>
      <c r="F85" s="735"/>
      <c r="G85" s="735"/>
      <c r="H85" s="735"/>
      <c r="I85" s="735"/>
      <c r="J85" s="735"/>
      <c r="K85" s="735"/>
      <c r="L85" s="393"/>
    </row>
    <row r="86" spans="1:12">
      <c r="A86" s="393"/>
      <c r="B86" s="736" t="s">
        <v>151</v>
      </c>
      <c r="C86" s="736"/>
      <c r="D86" s="736"/>
      <c r="E86" s="736"/>
      <c r="F86" s="736"/>
      <c r="G86" s="736"/>
      <c r="H86" s="736"/>
      <c r="I86" s="736"/>
      <c r="J86" s="736"/>
      <c r="K86" s="736"/>
      <c r="L86" s="393"/>
    </row>
    <row r="87" spans="1:12">
      <c r="A87" s="393"/>
      <c r="B87" s="427"/>
      <c r="C87" s="427"/>
      <c r="D87" s="427"/>
      <c r="E87" s="427"/>
      <c r="F87" s="427"/>
      <c r="G87" s="427"/>
      <c r="H87" s="427"/>
      <c r="I87" s="427"/>
      <c r="J87" s="427"/>
      <c r="K87" s="427"/>
      <c r="L87" s="393"/>
    </row>
    <row r="88" spans="1:12">
      <c r="A88" s="393"/>
      <c r="B88" s="736" t="s">
        <v>152</v>
      </c>
      <c r="C88" s="736"/>
      <c r="D88" s="736"/>
      <c r="E88" s="736"/>
      <c r="F88" s="736"/>
      <c r="G88" s="736"/>
      <c r="H88" s="736"/>
      <c r="I88" s="736"/>
      <c r="J88" s="736"/>
      <c r="K88" s="736"/>
      <c r="L88" s="393"/>
    </row>
    <row r="89" spans="1:12">
      <c r="A89" s="393"/>
      <c r="B89" s="527"/>
      <c r="C89" s="527"/>
      <c r="D89" s="527"/>
      <c r="E89" s="527"/>
      <c r="F89" s="527"/>
      <c r="G89" s="527"/>
      <c r="H89" s="527"/>
      <c r="I89" s="527"/>
      <c r="J89" s="527"/>
      <c r="K89" s="527"/>
      <c r="L89" s="393"/>
    </row>
    <row r="90" spans="1:12" ht="45" customHeight="1">
      <c r="A90" s="393"/>
      <c r="B90" s="731" t="s">
        <v>153</v>
      </c>
      <c r="C90" s="731"/>
      <c r="D90" s="731"/>
      <c r="E90" s="731"/>
      <c r="F90" s="731"/>
      <c r="G90" s="731"/>
      <c r="H90" s="731"/>
      <c r="I90" s="731"/>
      <c r="J90" s="731"/>
      <c r="K90" s="731"/>
      <c r="L90" s="393"/>
    </row>
    <row r="91" spans="1:12" ht="15" customHeight="1" thickBot="1">
      <c r="A91" s="393"/>
      <c r="L91" s="393"/>
    </row>
    <row r="92" spans="1:12" ht="15" customHeight="1">
      <c r="A92" s="393"/>
      <c r="B92" s="428" t="s">
        <v>113</v>
      </c>
      <c r="C92" s="429"/>
      <c r="D92" s="429"/>
      <c r="E92" s="429"/>
      <c r="F92" s="429"/>
      <c r="G92" s="429"/>
      <c r="H92" s="429"/>
      <c r="I92" s="429"/>
      <c r="J92" s="429"/>
      <c r="K92" s="430"/>
      <c r="L92" s="393"/>
    </row>
    <row r="93" spans="1:12" ht="15" customHeight="1">
      <c r="A93" s="393"/>
      <c r="B93" s="431"/>
      <c r="C93" s="530" t="s">
        <v>119</v>
      </c>
      <c r="D93" s="530"/>
      <c r="E93" s="530"/>
      <c r="F93" s="530"/>
      <c r="G93" s="530"/>
      <c r="H93" s="530"/>
      <c r="I93" s="530"/>
      <c r="J93" s="530"/>
      <c r="K93" s="432"/>
      <c r="L93" s="393"/>
    </row>
    <row r="94" spans="1:12" ht="15" customHeight="1">
      <c r="A94" s="393"/>
      <c r="B94" s="431" t="s">
        <v>140</v>
      </c>
      <c r="C94" s="727">
        <v>312000000</v>
      </c>
      <c r="D94" s="727"/>
      <c r="E94" s="528" t="s">
        <v>118</v>
      </c>
      <c r="F94" s="528">
        <v>1000</v>
      </c>
      <c r="G94" s="528" t="s">
        <v>117</v>
      </c>
      <c r="H94" s="525">
        <f>C94/F94</f>
        <v>312000</v>
      </c>
      <c r="I94" s="530" t="s">
        <v>141</v>
      </c>
      <c r="J94" s="530"/>
      <c r="K94" s="432"/>
      <c r="L94" s="393"/>
    </row>
    <row r="95" spans="1:12" ht="15" customHeight="1">
      <c r="A95" s="393"/>
      <c r="B95" s="431"/>
      <c r="C95" s="530"/>
      <c r="D95" s="530"/>
      <c r="E95" s="528"/>
      <c r="F95" s="530"/>
      <c r="G95" s="530"/>
      <c r="H95" s="530"/>
      <c r="I95" s="530"/>
      <c r="J95" s="530"/>
      <c r="K95" s="432"/>
      <c r="L95" s="393"/>
    </row>
    <row r="96" spans="1:12" ht="15" customHeight="1">
      <c r="A96" s="393"/>
      <c r="B96" s="431"/>
      <c r="C96" s="530" t="s">
        <v>142</v>
      </c>
      <c r="D96" s="530"/>
      <c r="E96" s="528"/>
      <c r="F96" s="530" t="s">
        <v>141</v>
      </c>
      <c r="G96" s="530"/>
      <c r="H96" s="530"/>
      <c r="I96" s="530"/>
      <c r="J96" s="530"/>
      <c r="K96" s="432"/>
      <c r="L96" s="393"/>
    </row>
    <row r="97" spans="1:12" ht="15" customHeight="1">
      <c r="A97" s="393"/>
      <c r="B97" s="431" t="s">
        <v>143</v>
      </c>
      <c r="C97" s="727">
        <v>50000</v>
      </c>
      <c r="D97" s="727"/>
      <c r="E97" s="528" t="s">
        <v>118</v>
      </c>
      <c r="F97" s="525">
        <f>H94</f>
        <v>312000</v>
      </c>
      <c r="G97" s="528" t="s">
        <v>117</v>
      </c>
      <c r="H97" s="413">
        <f>C97/F97</f>
        <v>0.16025641025641027</v>
      </c>
      <c r="I97" s="530" t="s">
        <v>144</v>
      </c>
      <c r="J97" s="530"/>
      <c r="K97" s="432"/>
      <c r="L97" s="393"/>
    </row>
    <row r="98" spans="1:12" ht="15" customHeight="1">
      <c r="A98" s="393"/>
      <c r="B98" s="431"/>
      <c r="C98" s="530"/>
      <c r="D98" s="530"/>
      <c r="E98" s="528"/>
      <c r="F98" s="530"/>
      <c r="G98" s="530"/>
      <c r="H98" s="530"/>
      <c r="I98" s="530"/>
      <c r="J98" s="530"/>
      <c r="K98" s="432"/>
      <c r="L98" s="393"/>
    </row>
    <row r="99" spans="1:12" ht="15" customHeight="1">
      <c r="A99" s="393"/>
      <c r="B99" s="433"/>
      <c r="C99" s="434" t="s">
        <v>154</v>
      </c>
      <c r="D99" s="434"/>
      <c r="E99" s="524"/>
      <c r="F99" s="434"/>
      <c r="G99" s="434"/>
      <c r="H99" s="434"/>
      <c r="I99" s="434"/>
      <c r="J99" s="434"/>
      <c r="K99" s="435"/>
      <c r="L99" s="393"/>
    </row>
    <row r="100" spans="1:12" ht="15" customHeight="1">
      <c r="A100" s="393"/>
      <c r="B100" s="431" t="s">
        <v>146</v>
      </c>
      <c r="C100" s="727">
        <v>2500000</v>
      </c>
      <c r="D100" s="727"/>
      <c r="E100" s="528" t="s">
        <v>396</v>
      </c>
      <c r="F100" s="436">
        <v>0.3</v>
      </c>
      <c r="G100" s="528" t="s">
        <v>117</v>
      </c>
      <c r="H100" s="525">
        <f>C100*F100</f>
        <v>750000</v>
      </c>
      <c r="I100" s="530" t="s">
        <v>147</v>
      </c>
      <c r="J100" s="530"/>
      <c r="K100" s="432"/>
      <c r="L100" s="393"/>
    </row>
    <row r="101" spans="1:12" ht="15" customHeight="1">
      <c r="A101" s="393"/>
      <c r="B101" s="431"/>
      <c r="C101" s="530"/>
      <c r="D101" s="530"/>
      <c r="E101" s="528"/>
      <c r="F101" s="530"/>
      <c r="G101" s="530"/>
      <c r="H101" s="530"/>
      <c r="I101" s="530"/>
      <c r="J101" s="530"/>
      <c r="K101" s="432"/>
      <c r="L101" s="393"/>
    </row>
    <row r="102" spans="1:12" ht="15" customHeight="1">
      <c r="A102" s="393"/>
      <c r="B102" s="433"/>
      <c r="C102" s="434" t="s">
        <v>148</v>
      </c>
      <c r="D102" s="434"/>
      <c r="E102" s="524"/>
      <c r="F102" s="434" t="s">
        <v>144</v>
      </c>
      <c r="G102" s="434"/>
      <c r="H102" s="434"/>
      <c r="I102" s="434"/>
      <c r="J102" s="434" t="s">
        <v>149</v>
      </c>
      <c r="K102" s="435"/>
      <c r="L102" s="393"/>
    </row>
    <row r="103" spans="1:12" ht="15" customHeight="1">
      <c r="A103" s="393"/>
      <c r="B103" s="431" t="s">
        <v>150</v>
      </c>
      <c r="C103" s="742">
        <f>H100</f>
        <v>750000</v>
      </c>
      <c r="D103" s="742"/>
      <c r="E103" s="528" t="s">
        <v>396</v>
      </c>
      <c r="F103" s="413">
        <f>H97</f>
        <v>0.16025641025641027</v>
      </c>
      <c r="G103" s="528" t="s">
        <v>118</v>
      </c>
      <c r="H103" s="528">
        <v>1000</v>
      </c>
      <c r="I103" s="528" t="s">
        <v>117</v>
      </c>
      <c r="J103" s="526">
        <f>C103*F103/H103</f>
        <v>120.19230769230771</v>
      </c>
      <c r="K103" s="432"/>
      <c r="L103" s="393"/>
    </row>
    <row r="104" spans="1:12" ht="15" customHeight="1" thickBot="1">
      <c r="A104" s="393"/>
      <c r="B104" s="437"/>
      <c r="C104" s="423"/>
      <c r="D104" s="423"/>
      <c r="E104" s="424"/>
      <c r="F104" s="425"/>
      <c r="G104" s="424"/>
      <c r="H104" s="424"/>
      <c r="I104" s="424"/>
      <c r="J104" s="426"/>
      <c r="K104" s="531"/>
      <c r="L104" s="393"/>
    </row>
    <row r="105" spans="1:12" ht="40.5" customHeight="1">
      <c r="A105" s="393"/>
      <c r="B105" s="735" t="s">
        <v>109</v>
      </c>
      <c r="C105" s="745"/>
      <c r="D105" s="745"/>
      <c r="E105" s="745"/>
      <c r="F105" s="745"/>
      <c r="G105" s="745"/>
      <c r="H105" s="745"/>
      <c r="I105" s="745"/>
      <c r="J105" s="745"/>
      <c r="K105" s="745"/>
      <c r="L105" s="393"/>
    </row>
    <row r="106" spans="1:12" ht="15" customHeight="1">
      <c r="A106" s="393"/>
      <c r="B106" s="746" t="s">
        <v>155</v>
      </c>
      <c r="C106" s="737"/>
      <c r="D106" s="737"/>
      <c r="E106" s="737"/>
      <c r="F106" s="737"/>
      <c r="G106" s="737"/>
      <c r="H106" s="737"/>
      <c r="I106" s="737"/>
      <c r="J106" s="737"/>
      <c r="K106" s="737"/>
      <c r="L106" s="393"/>
    </row>
    <row r="107" spans="1:12" ht="15" customHeight="1">
      <c r="A107" s="393"/>
      <c r="B107" s="530"/>
      <c r="C107" s="438"/>
      <c r="D107" s="438"/>
      <c r="E107" s="528"/>
      <c r="F107" s="413"/>
      <c r="G107" s="528"/>
      <c r="H107" s="528"/>
      <c r="I107" s="528"/>
      <c r="J107" s="526"/>
      <c r="K107" s="530"/>
      <c r="L107" s="393"/>
    </row>
    <row r="108" spans="1:12" ht="15" customHeight="1">
      <c r="A108" s="393"/>
      <c r="B108" s="746" t="s">
        <v>156</v>
      </c>
      <c r="C108" s="747"/>
      <c r="D108" s="747"/>
      <c r="E108" s="747"/>
      <c r="F108" s="747"/>
      <c r="G108" s="747"/>
      <c r="H108" s="747"/>
      <c r="I108" s="747"/>
      <c r="J108" s="747"/>
      <c r="K108" s="747"/>
      <c r="L108" s="393"/>
    </row>
    <row r="109" spans="1:12" ht="15" customHeight="1">
      <c r="A109" s="393"/>
      <c r="B109" s="530"/>
      <c r="C109" s="438"/>
      <c r="D109" s="438"/>
      <c r="E109" s="528"/>
      <c r="F109" s="413"/>
      <c r="G109" s="528"/>
      <c r="H109" s="528"/>
      <c r="I109" s="528"/>
      <c r="J109" s="526"/>
      <c r="K109" s="530"/>
      <c r="L109" s="393"/>
    </row>
    <row r="110" spans="1:12" ht="59.25" customHeight="1">
      <c r="A110" s="393"/>
      <c r="B110" s="748" t="s">
        <v>157</v>
      </c>
      <c r="C110" s="732"/>
      <c r="D110" s="732"/>
      <c r="E110" s="732"/>
      <c r="F110" s="732"/>
      <c r="G110" s="732"/>
      <c r="H110" s="732"/>
      <c r="I110" s="732"/>
      <c r="J110" s="732"/>
      <c r="K110" s="732"/>
      <c r="L110" s="393"/>
    </row>
    <row r="111" spans="1:12" ht="15" thickBot="1">
      <c r="A111" s="393"/>
      <c r="B111" s="532"/>
      <c r="C111" s="532"/>
      <c r="D111" s="532"/>
      <c r="E111" s="532"/>
      <c r="F111" s="532"/>
      <c r="G111" s="532"/>
      <c r="H111" s="532"/>
      <c r="I111" s="532"/>
      <c r="J111" s="532"/>
      <c r="K111" s="532"/>
      <c r="L111" s="439"/>
    </row>
    <row r="112" spans="1:12">
      <c r="A112" s="393"/>
      <c r="B112" s="399" t="s">
        <v>113</v>
      </c>
      <c r="C112" s="400"/>
      <c r="D112" s="400"/>
      <c r="E112" s="400"/>
      <c r="F112" s="400"/>
      <c r="G112" s="400"/>
      <c r="H112" s="400"/>
      <c r="I112" s="400"/>
      <c r="J112" s="400"/>
      <c r="K112" s="401"/>
      <c r="L112" s="393"/>
    </row>
    <row r="113" spans="1:12">
      <c r="A113" s="393"/>
      <c r="B113" s="411"/>
      <c r="C113" s="403" t="s">
        <v>119</v>
      </c>
      <c r="D113" s="403"/>
      <c r="E113" s="403"/>
      <c r="F113" s="403"/>
      <c r="G113" s="403"/>
      <c r="H113" s="403"/>
      <c r="I113" s="403"/>
      <c r="J113" s="403"/>
      <c r="K113" s="405"/>
      <c r="L113" s="393"/>
    </row>
    <row r="114" spans="1:12">
      <c r="A114" s="393"/>
      <c r="B114" s="411" t="s">
        <v>140</v>
      </c>
      <c r="C114" s="727">
        <v>312000000</v>
      </c>
      <c r="D114" s="727"/>
      <c r="E114" s="528" t="s">
        <v>118</v>
      </c>
      <c r="F114" s="528">
        <v>1000</v>
      </c>
      <c r="G114" s="528" t="s">
        <v>117</v>
      </c>
      <c r="H114" s="525">
        <f>C114/F114</f>
        <v>312000</v>
      </c>
      <c r="I114" s="403" t="s">
        <v>141</v>
      </c>
      <c r="J114" s="403"/>
      <c r="K114" s="405"/>
      <c r="L114" s="393"/>
    </row>
    <row r="115" spans="1:12">
      <c r="A115" s="393"/>
      <c r="B115" s="411"/>
      <c r="C115" s="403"/>
      <c r="D115" s="403"/>
      <c r="E115" s="528"/>
      <c r="F115" s="403"/>
      <c r="G115" s="403"/>
      <c r="H115" s="403"/>
      <c r="I115" s="403"/>
      <c r="J115" s="403"/>
      <c r="K115" s="405"/>
      <c r="L115" s="393"/>
    </row>
    <row r="116" spans="1:12">
      <c r="A116" s="393"/>
      <c r="B116" s="411"/>
      <c r="C116" s="403" t="s">
        <v>142</v>
      </c>
      <c r="D116" s="403"/>
      <c r="E116" s="528"/>
      <c r="F116" s="403" t="s">
        <v>141</v>
      </c>
      <c r="G116" s="403"/>
      <c r="H116" s="403"/>
      <c r="I116" s="403"/>
      <c r="J116" s="403"/>
      <c r="K116" s="405"/>
      <c r="L116" s="393"/>
    </row>
    <row r="117" spans="1:12">
      <c r="A117" s="393"/>
      <c r="B117" s="411" t="s">
        <v>143</v>
      </c>
      <c r="C117" s="727">
        <v>50000</v>
      </c>
      <c r="D117" s="727"/>
      <c r="E117" s="528" t="s">
        <v>118</v>
      </c>
      <c r="F117" s="525">
        <f>H114</f>
        <v>312000</v>
      </c>
      <c r="G117" s="528" t="s">
        <v>117</v>
      </c>
      <c r="H117" s="413">
        <f>C117/F117</f>
        <v>0.16025641025641027</v>
      </c>
      <c r="I117" s="403" t="s">
        <v>144</v>
      </c>
      <c r="J117" s="403"/>
      <c r="K117" s="405"/>
      <c r="L117" s="393"/>
    </row>
    <row r="118" spans="1:12">
      <c r="A118" s="393"/>
      <c r="B118" s="411"/>
      <c r="C118" s="403"/>
      <c r="D118" s="403"/>
      <c r="E118" s="528"/>
      <c r="F118" s="403"/>
      <c r="G118" s="403"/>
      <c r="H118" s="403"/>
      <c r="I118" s="403"/>
      <c r="J118" s="403"/>
      <c r="K118" s="405"/>
      <c r="L118" s="393"/>
    </row>
    <row r="119" spans="1:12">
      <c r="A119" s="393"/>
      <c r="B119" s="420"/>
      <c r="C119" s="421" t="s">
        <v>154</v>
      </c>
      <c r="D119" s="421"/>
      <c r="E119" s="524"/>
      <c r="F119" s="421"/>
      <c r="G119" s="421"/>
      <c r="H119" s="421"/>
      <c r="I119" s="421"/>
      <c r="J119" s="421"/>
      <c r="K119" s="422"/>
      <c r="L119" s="393"/>
    </row>
    <row r="120" spans="1:12">
      <c r="A120" s="393"/>
      <c r="B120" s="411" t="s">
        <v>146</v>
      </c>
      <c r="C120" s="727">
        <v>2500000</v>
      </c>
      <c r="D120" s="727"/>
      <c r="E120" s="528" t="s">
        <v>396</v>
      </c>
      <c r="F120" s="436">
        <v>0.25</v>
      </c>
      <c r="G120" s="528" t="s">
        <v>117</v>
      </c>
      <c r="H120" s="525">
        <f>C120*F120</f>
        <v>625000</v>
      </c>
      <c r="I120" s="403" t="s">
        <v>147</v>
      </c>
      <c r="J120" s="403"/>
      <c r="K120" s="405"/>
      <c r="L120" s="393"/>
    </row>
    <row r="121" spans="1:12">
      <c r="A121" s="393"/>
      <c r="B121" s="411"/>
      <c r="C121" s="403"/>
      <c r="D121" s="403"/>
      <c r="E121" s="528"/>
      <c r="F121" s="403"/>
      <c r="G121" s="403"/>
      <c r="H121" s="403"/>
      <c r="I121" s="403"/>
      <c r="J121" s="403"/>
      <c r="K121" s="405"/>
      <c r="L121" s="393"/>
    </row>
    <row r="122" spans="1:12">
      <c r="A122" s="393"/>
      <c r="B122" s="420"/>
      <c r="C122" s="421" t="s">
        <v>148</v>
      </c>
      <c r="D122" s="421"/>
      <c r="E122" s="524"/>
      <c r="F122" s="421" t="s">
        <v>144</v>
      </c>
      <c r="G122" s="421"/>
      <c r="H122" s="421"/>
      <c r="I122" s="421"/>
      <c r="J122" s="421" t="s">
        <v>149</v>
      </c>
      <c r="K122" s="422"/>
      <c r="L122" s="393"/>
    </row>
    <row r="123" spans="1:12">
      <c r="A123" s="393"/>
      <c r="B123" s="411" t="s">
        <v>150</v>
      </c>
      <c r="C123" s="742">
        <f>H120</f>
        <v>625000</v>
      </c>
      <c r="D123" s="742"/>
      <c r="E123" s="528" t="s">
        <v>396</v>
      </c>
      <c r="F123" s="413">
        <f>H117</f>
        <v>0.16025641025641027</v>
      </c>
      <c r="G123" s="528" t="s">
        <v>118</v>
      </c>
      <c r="H123" s="528">
        <v>1000</v>
      </c>
      <c r="I123" s="528" t="s">
        <v>117</v>
      </c>
      <c r="J123" s="526">
        <f>C123*F123/H123</f>
        <v>100.16025641025642</v>
      </c>
      <c r="K123" s="405"/>
      <c r="L123" s="393"/>
    </row>
    <row r="124" spans="1:12" ht="15" thickBot="1">
      <c r="A124" s="393"/>
      <c r="B124" s="406"/>
      <c r="C124" s="423"/>
      <c r="D124" s="423"/>
      <c r="E124" s="424"/>
      <c r="F124" s="425"/>
      <c r="G124" s="424"/>
      <c r="H124" s="424"/>
      <c r="I124" s="424"/>
      <c r="J124" s="426"/>
      <c r="K124" s="408"/>
      <c r="L124" s="393"/>
    </row>
    <row r="125" spans="1:12" ht="40.5" customHeight="1">
      <c r="A125" s="393"/>
      <c r="B125" s="735" t="s">
        <v>109</v>
      </c>
      <c r="C125" s="735"/>
      <c r="D125" s="735"/>
      <c r="E125" s="735"/>
      <c r="F125" s="735"/>
      <c r="G125" s="735"/>
      <c r="H125" s="735"/>
      <c r="I125" s="735"/>
      <c r="J125" s="735"/>
      <c r="K125" s="735"/>
      <c r="L125" s="439"/>
    </row>
    <row r="126" spans="1:12">
      <c r="A126" s="393"/>
      <c r="B126" s="736" t="s">
        <v>158</v>
      </c>
      <c r="C126" s="736"/>
      <c r="D126" s="736"/>
      <c r="E126" s="736"/>
      <c r="F126" s="736"/>
      <c r="G126" s="736"/>
      <c r="H126" s="736"/>
      <c r="I126" s="736"/>
      <c r="J126" s="736"/>
      <c r="K126" s="736"/>
      <c r="L126" s="439"/>
    </row>
    <row r="127" spans="1:12">
      <c r="A127" s="393"/>
      <c r="B127" s="532"/>
      <c r="C127" s="532"/>
      <c r="D127" s="532"/>
      <c r="E127" s="532"/>
      <c r="F127" s="532"/>
      <c r="G127" s="532"/>
      <c r="H127" s="532"/>
      <c r="I127" s="532"/>
      <c r="J127" s="532"/>
      <c r="K127" s="532"/>
      <c r="L127" s="439"/>
    </row>
    <row r="128" spans="1:12">
      <c r="A128" s="393"/>
      <c r="B128" s="736" t="s">
        <v>159</v>
      </c>
      <c r="C128" s="736"/>
      <c r="D128" s="736"/>
      <c r="E128" s="736"/>
      <c r="F128" s="736"/>
      <c r="G128" s="736"/>
      <c r="H128" s="736"/>
      <c r="I128" s="736"/>
      <c r="J128" s="736"/>
      <c r="K128" s="736"/>
      <c r="L128" s="439"/>
    </row>
    <row r="129" spans="1:12">
      <c r="A129" s="393"/>
      <c r="B129" s="527"/>
      <c r="C129" s="527"/>
      <c r="D129" s="527"/>
      <c r="E129" s="527"/>
      <c r="F129" s="527"/>
      <c r="G129" s="527"/>
      <c r="H129" s="527"/>
      <c r="I129" s="527"/>
      <c r="J129" s="527"/>
      <c r="K129" s="527"/>
      <c r="L129" s="439"/>
    </row>
    <row r="130" spans="1:12" ht="74.25" customHeight="1">
      <c r="A130" s="393"/>
      <c r="B130" s="731" t="s">
        <v>160</v>
      </c>
      <c r="C130" s="731"/>
      <c r="D130" s="731"/>
      <c r="E130" s="731"/>
      <c r="F130" s="731"/>
      <c r="G130" s="731"/>
      <c r="H130" s="731"/>
      <c r="I130" s="731"/>
      <c r="J130" s="731"/>
      <c r="K130" s="731"/>
      <c r="L130" s="439"/>
    </row>
    <row r="131" spans="1:12" ht="15" thickBot="1">
      <c r="A131" s="393"/>
      <c r="L131" s="393"/>
    </row>
    <row r="132" spans="1:12">
      <c r="A132" s="393"/>
      <c r="B132" s="399" t="s">
        <v>113</v>
      </c>
      <c r="C132" s="400"/>
      <c r="D132" s="400"/>
      <c r="E132" s="400"/>
      <c r="F132" s="400"/>
      <c r="G132" s="400"/>
      <c r="H132" s="400"/>
      <c r="I132" s="400"/>
      <c r="J132" s="400"/>
      <c r="K132" s="401"/>
      <c r="L132" s="393"/>
    </row>
    <row r="133" spans="1:12">
      <c r="A133" s="393"/>
      <c r="B133" s="411"/>
      <c r="C133" s="743" t="s">
        <v>161</v>
      </c>
      <c r="D133" s="743"/>
      <c r="E133" s="403"/>
      <c r="F133" s="528" t="s">
        <v>162</v>
      </c>
      <c r="G133" s="403"/>
      <c r="H133" s="743" t="s">
        <v>147</v>
      </c>
      <c r="I133" s="743"/>
      <c r="J133" s="403"/>
      <c r="K133" s="405"/>
      <c r="L133" s="393"/>
    </row>
    <row r="134" spans="1:12">
      <c r="A134" s="393"/>
      <c r="B134" s="411" t="s">
        <v>140</v>
      </c>
      <c r="C134" s="727">
        <v>100000</v>
      </c>
      <c r="D134" s="727"/>
      <c r="E134" s="528" t="s">
        <v>396</v>
      </c>
      <c r="F134" s="528">
        <v>0.115</v>
      </c>
      <c r="G134" s="528" t="s">
        <v>117</v>
      </c>
      <c r="H134" s="744">
        <f>C134*F134</f>
        <v>11500</v>
      </c>
      <c r="I134" s="744"/>
      <c r="J134" s="403"/>
      <c r="K134" s="405"/>
      <c r="L134" s="393"/>
    </row>
    <row r="135" spans="1:12">
      <c r="A135" s="393"/>
      <c r="B135" s="411"/>
      <c r="C135" s="403"/>
      <c r="D135" s="403"/>
      <c r="E135" s="403"/>
      <c r="F135" s="403"/>
      <c r="G135" s="403"/>
      <c r="H135" s="403"/>
      <c r="I135" s="403"/>
      <c r="J135" s="403"/>
      <c r="K135" s="405"/>
      <c r="L135" s="393"/>
    </row>
    <row r="136" spans="1:12">
      <c r="A136" s="393"/>
      <c r="B136" s="420"/>
      <c r="C136" s="752" t="s">
        <v>147</v>
      </c>
      <c r="D136" s="752"/>
      <c r="E136" s="421"/>
      <c r="F136" s="524" t="s">
        <v>163</v>
      </c>
      <c r="G136" s="524"/>
      <c r="H136" s="421"/>
      <c r="I136" s="421"/>
      <c r="J136" s="421" t="s">
        <v>164</v>
      </c>
      <c r="K136" s="422"/>
      <c r="L136" s="393"/>
    </row>
    <row r="137" spans="1:12">
      <c r="A137" s="393"/>
      <c r="B137" s="411" t="s">
        <v>143</v>
      </c>
      <c r="C137" s="744">
        <f>H134</f>
        <v>11500</v>
      </c>
      <c r="D137" s="744"/>
      <c r="E137" s="528" t="s">
        <v>396</v>
      </c>
      <c r="F137" s="440">
        <v>52.869</v>
      </c>
      <c r="G137" s="528" t="s">
        <v>118</v>
      </c>
      <c r="H137" s="528">
        <v>1000</v>
      </c>
      <c r="I137" s="528" t="s">
        <v>117</v>
      </c>
      <c r="J137" s="441">
        <f>C137*F137/H137</f>
        <v>607.99350000000004</v>
      </c>
      <c r="K137" s="405"/>
      <c r="L137" s="393"/>
    </row>
    <row r="138" spans="1:12" ht="15" thickBot="1">
      <c r="A138" s="393"/>
      <c r="B138" s="406"/>
      <c r="C138" s="442"/>
      <c r="D138" s="442"/>
      <c r="E138" s="424"/>
      <c r="F138" s="443"/>
      <c r="G138" s="424"/>
      <c r="H138" s="424"/>
      <c r="I138" s="424"/>
      <c r="J138" s="444"/>
      <c r="K138" s="408"/>
      <c r="L138" s="393"/>
    </row>
    <row r="139" spans="1:12" ht="40.5" customHeight="1">
      <c r="A139" s="393"/>
      <c r="B139" s="445" t="s">
        <v>109</v>
      </c>
      <c r="C139" s="446"/>
      <c r="D139" s="446"/>
      <c r="E139" s="447"/>
      <c r="F139" s="448"/>
      <c r="G139" s="447"/>
      <c r="H139" s="447"/>
      <c r="I139" s="447"/>
      <c r="J139" s="449"/>
      <c r="K139" s="450"/>
      <c r="L139" s="393"/>
    </row>
    <row r="140" spans="1:12">
      <c r="A140" s="393"/>
      <c r="B140" s="451" t="s">
        <v>165</v>
      </c>
      <c r="C140" s="452"/>
      <c r="D140" s="452"/>
      <c r="E140" s="453"/>
      <c r="F140" s="454"/>
      <c r="G140" s="453"/>
      <c r="H140" s="453"/>
      <c r="I140" s="453"/>
      <c r="J140" s="455"/>
      <c r="K140" s="456"/>
      <c r="L140" s="393"/>
    </row>
    <row r="141" spans="1:12">
      <c r="A141" s="393"/>
      <c r="B141" s="411"/>
      <c r="C141" s="525"/>
      <c r="D141" s="525"/>
      <c r="E141" s="528"/>
      <c r="F141" s="457"/>
      <c r="G141" s="528"/>
      <c r="H141" s="528"/>
      <c r="I141" s="528"/>
      <c r="J141" s="441"/>
      <c r="K141" s="405"/>
      <c r="L141" s="393"/>
    </row>
    <row r="142" spans="1:12">
      <c r="A142" s="393"/>
      <c r="B142" s="451" t="s">
        <v>166</v>
      </c>
      <c r="C142" s="452"/>
      <c r="D142" s="452"/>
      <c r="E142" s="453"/>
      <c r="F142" s="454"/>
      <c r="G142" s="453"/>
      <c r="H142" s="453"/>
      <c r="I142" s="453"/>
      <c r="J142" s="455"/>
      <c r="K142" s="456"/>
      <c r="L142" s="393"/>
    </row>
    <row r="143" spans="1:12">
      <c r="A143" s="393"/>
      <c r="B143" s="411"/>
      <c r="C143" s="525"/>
      <c r="D143" s="525"/>
      <c r="E143" s="528"/>
      <c r="F143" s="457"/>
      <c r="G143" s="528"/>
      <c r="H143" s="528"/>
      <c r="I143" s="528"/>
      <c r="J143" s="441"/>
      <c r="K143" s="405"/>
      <c r="L143" s="393"/>
    </row>
    <row r="144" spans="1:12" ht="76.5" customHeight="1">
      <c r="A144" s="393"/>
      <c r="B144" s="753" t="s">
        <v>167</v>
      </c>
      <c r="C144" s="754"/>
      <c r="D144" s="754"/>
      <c r="E144" s="754"/>
      <c r="F144" s="754"/>
      <c r="G144" s="754"/>
      <c r="H144" s="754"/>
      <c r="I144" s="754"/>
      <c r="J144" s="754"/>
      <c r="K144" s="755"/>
      <c r="L144" s="393"/>
    </row>
    <row r="145" spans="1:12" ht="15" thickBot="1">
      <c r="A145" s="393"/>
      <c r="B145" s="411"/>
      <c r="C145" s="525"/>
      <c r="D145" s="525"/>
      <c r="E145" s="528"/>
      <c r="F145" s="457"/>
      <c r="G145" s="528"/>
      <c r="H145" s="528"/>
      <c r="I145" s="528"/>
      <c r="J145" s="441"/>
      <c r="K145" s="405"/>
      <c r="L145" s="393"/>
    </row>
    <row r="146" spans="1:12">
      <c r="A146" s="393"/>
      <c r="B146" s="399" t="s">
        <v>113</v>
      </c>
      <c r="C146" s="458"/>
      <c r="D146" s="458"/>
      <c r="E146" s="459"/>
      <c r="F146" s="460"/>
      <c r="G146" s="459"/>
      <c r="H146" s="459"/>
      <c r="I146" s="459"/>
      <c r="J146" s="461"/>
      <c r="K146" s="401"/>
      <c r="L146" s="393"/>
    </row>
    <row r="147" spans="1:12">
      <c r="A147" s="393"/>
      <c r="B147" s="411"/>
      <c r="C147" s="744" t="s">
        <v>168</v>
      </c>
      <c r="D147" s="744"/>
      <c r="E147" s="528"/>
      <c r="F147" s="457" t="s">
        <v>169</v>
      </c>
      <c r="G147" s="528"/>
      <c r="H147" s="528"/>
      <c r="I147" s="528"/>
      <c r="J147" s="750" t="s">
        <v>170</v>
      </c>
      <c r="K147" s="756"/>
      <c r="L147" s="393"/>
    </row>
    <row r="148" spans="1:12">
      <c r="A148" s="393"/>
      <c r="B148" s="411"/>
      <c r="C148" s="749">
        <v>52.869</v>
      </c>
      <c r="D148" s="749"/>
      <c r="E148" s="528" t="s">
        <v>396</v>
      </c>
      <c r="F148" s="529">
        <v>312000000</v>
      </c>
      <c r="G148" s="462" t="s">
        <v>118</v>
      </c>
      <c r="H148" s="528">
        <v>1000</v>
      </c>
      <c r="I148" s="528" t="s">
        <v>117</v>
      </c>
      <c r="J148" s="750">
        <f>C148*(F148/1000)</f>
        <v>16495128</v>
      </c>
      <c r="K148" s="751"/>
      <c r="L148" s="393"/>
    </row>
    <row r="149" spans="1:12" ht="15" thickBot="1">
      <c r="A149" s="393"/>
      <c r="B149" s="406"/>
      <c r="C149" s="442"/>
      <c r="D149" s="442"/>
      <c r="E149" s="424"/>
      <c r="F149" s="443"/>
      <c r="G149" s="424"/>
      <c r="H149" s="424"/>
      <c r="I149" s="424"/>
      <c r="J149" s="444"/>
      <c r="K149" s="408"/>
      <c r="L149" s="393"/>
    </row>
    <row r="150" spans="1:12" ht="15" thickBot="1">
      <c r="A150" s="393"/>
      <c r="B150" s="406"/>
      <c r="C150" s="407"/>
      <c r="D150" s="407"/>
      <c r="E150" s="407"/>
      <c r="F150" s="407"/>
      <c r="G150" s="407"/>
      <c r="H150" s="407"/>
      <c r="I150" s="407"/>
      <c r="J150" s="407"/>
      <c r="K150" s="408"/>
      <c r="L150" s="393"/>
    </row>
    <row r="151" spans="1:12">
      <c r="A151" s="393"/>
      <c r="B151" s="393"/>
      <c r="C151" s="393"/>
      <c r="D151" s="393"/>
      <c r="E151" s="393"/>
      <c r="F151" s="393"/>
      <c r="G151" s="393"/>
      <c r="H151" s="393"/>
      <c r="I151" s="393"/>
      <c r="J151" s="393"/>
      <c r="K151" s="393"/>
      <c r="L151" s="393"/>
    </row>
    <row r="152" spans="1:12">
      <c r="A152" s="393"/>
      <c r="B152" s="393"/>
      <c r="C152" s="393"/>
      <c r="D152" s="393"/>
      <c r="E152" s="393"/>
      <c r="F152" s="393"/>
      <c r="G152" s="393"/>
      <c r="H152" s="393"/>
      <c r="I152" s="393"/>
      <c r="J152" s="393"/>
      <c r="K152" s="393"/>
      <c r="L152" s="393"/>
    </row>
    <row r="153" spans="1:12">
      <c r="A153" s="393"/>
      <c r="B153" s="393"/>
      <c r="C153" s="393"/>
      <c r="D153" s="393"/>
      <c r="E153" s="393"/>
      <c r="F153" s="393"/>
      <c r="G153" s="393"/>
      <c r="H153" s="393"/>
      <c r="I153" s="393"/>
      <c r="J153" s="393"/>
      <c r="K153" s="393"/>
      <c r="L153" s="393"/>
    </row>
    <row r="154" spans="1:12">
      <c r="A154" s="463"/>
      <c r="B154" s="463"/>
      <c r="C154" s="463"/>
      <c r="D154" s="463"/>
      <c r="E154" s="463"/>
      <c r="F154" s="463"/>
      <c r="G154" s="463"/>
      <c r="H154" s="463"/>
      <c r="I154" s="463"/>
      <c r="J154" s="463"/>
      <c r="K154" s="463"/>
      <c r="L154" s="463"/>
    </row>
    <row r="155" spans="1:12">
      <c r="A155" s="463"/>
      <c r="B155" s="463"/>
      <c r="C155" s="463"/>
      <c r="D155" s="463"/>
      <c r="E155" s="463"/>
      <c r="F155" s="463"/>
      <c r="G155" s="463"/>
      <c r="H155" s="463"/>
      <c r="I155" s="463"/>
      <c r="J155" s="463"/>
      <c r="K155" s="463"/>
      <c r="L155" s="463"/>
    </row>
    <row r="156" spans="1:12">
      <c r="A156" s="463"/>
      <c r="B156" s="463"/>
      <c r="C156" s="463"/>
      <c r="D156" s="463"/>
      <c r="E156" s="463"/>
      <c r="F156" s="463"/>
      <c r="G156" s="463"/>
      <c r="H156" s="463"/>
      <c r="I156" s="463"/>
      <c r="J156" s="463"/>
      <c r="K156" s="463"/>
      <c r="L156" s="463"/>
    </row>
    <row r="157" spans="1:12">
      <c r="A157" s="463"/>
      <c r="B157" s="463"/>
      <c r="C157" s="463"/>
      <c r="D157" s="463"/>
      <c r="E157" s="463"/>
      <c r="F157" s="463"/>
      <c r="G157" s="463"/>
      <c r="H157" s="463"/>
      <c r="I157" s="463"/>
      <c r="J157" s="463"/>
      <c r="K157" s="463"/>
      <c r="L157" s="463"/>
    </row>
    <row r="158" spans="1:12">
      <c r="A158" s="463"/>
      <c r="B158" s="463"/>
      <c r="C158" s="463"/>
      <c r="D158" s="463"/>
      <c r="E158" s="463"/>
      <c r="F158" s="463"/>
      <c r="G158" s="463"/>
      <c r="H158" s="463"/>
      <c r="I158" s="463"/>
      <c r="J158" s="463"/>
      <c r="K158" s="463"/>
      <c r="L158" s="463"/>
    </row>
    <row r="159" spans="1:12">
      <c r="A159" s="463"/>
      <c r="B159" s="463"/>
      <c r="C159" s="463"/>
      <c r="D159" s="463"/>
      <c r="E159" s="463"/>
      <c r="F159" s="463"/>
      <c r="G159" s="463"/>
      <c r="H159" s="463"/>
      <c r="I159" s="463"/>
      <c r="J159" s="463"/>
      <c r="K159" s="463"/>
      <c r="L159" s="463"/>
    </row>
    <row r="160" spans="1:12">
      <c r="A160" s="463"/>
      <c r="B160" s="463"/>
      <c r="C160" s="463"/>
      <c r="D160" s="463"/>
      <c r="E160" s="463"/>
      <c r="F160" s="463"/>
      <c r="G160" s="463"/>
      <c r="H160" s="463"/>
      <c r="I160" s="463"/>
      <c r="J160" s="463"/>
      <c r="K160" s="463"/>
      <c r="L160" s="463"/>
    </row>
    <row r="161" spans="1:12">
      <c r="A161" s="463"/>
      <c r="B161" s="463"/>
      <c r="C161" s="463"/>
      <c r="D161" s="463"/>
      <c r="E161" s="463"/>
      <c r="F161" s="463"/>
      <c r="G161" s="463"/>
      <c r="H161" s="463"/>
      <c r="I161" s="463"/>
      <c r="J161" s="463"/>
      <c r="K161" s="463"/>
      <c r="L161" s="463"/>
    </row>
    <row r="162" spans="1:12">
      <c r="A162" s="463"/>
      <c r="B162" s="463"/>
      <c r="C162" s="463"/>
      <c r="D162" s="463"/>
      <c r="E162" s="463"/>
      <c r="F162" s="463"/>
      <c r="G162" s="463"/>
      <c r="H162" s="463"/>
      <c r="I162" s="463"/>
      <c r="J162" s="463"/>
      <c r="K162" s="463"/>
      <c r="L162" s="463"/>
    </row>
    <row r="163" spans="1:12">
      <c r="A163" s="463"/>
      <c r="B163" s="463"/>
      <c r="C163" s="463"/>
      <c r="D163" s="463"/>
      <c r="E163" s="463"/>
      <c r="F163" s="463"/>
      <c r="G163" s="463"/>
      <c r="H163" s="463"/>
      <c r="I163" s="463"/>
      <c r="J163" s="463"/>
      <c r="K163" s="463"/>
      <c r="L163" s="463"/>
    </row>
    <row r="164" spans="1:12">
      <c r="A164" s="463"/>
      <c r="B164" s="463"/>
      <c r="C164" s="463"/>
      <c r="D164" s="463"/>
      <c r="E164" s="463"/>
      <c r="F164" s="463"/>
      <c r="G164" s="463"/>
      <c r="H164" s="463"/>
      <c r="I164" s="463"/>
      <c r="J164" s="463"/>
      <c r="K164" s="463"/>
      <c r="L164" s="463"/>
    </row>
    <row r="165" spans="1:12">
      <c r="A165" s="463"/>
      <c r="B165" s="463"/>
      <c r="C165" s="463"/>
      <c r="D165" s="463"/>
      <c r="E165" s="463"/>
      <c r="F165" s="463"/>
      <c r="G165" s="463"/>
      <c r="H165" s="463"/>
      <c r="I165" s="463"/>
      <c r="J165" s="463"/>
      <c r="K165" s="463"/>
      <c r="L165" s="463"/>
    </row>
    <row r="166" spans="1:12">
      <c r="A166" s="463"/>
      <c r="B166" s="463"/>
      <c r="C166" s="463"/>
      <c r="D166" s="463"/>
      <c r="E166" s="463"/>
      <c r="F166" s="463"/>
      <c r="G166" s="463"/>
      <c r="H166" s="463"/>
      <c r="I166" s="463"/>
      <c r="J166" s="463"/>
      <c r="K166" s="463"/>
      <c r="L166" s="463"/>
    </row>
    <row r="167" spans="1:12">
      <c r="A167" s="463"/>
      <c r="B167" s="463"/>
      <c r="C167" s="463"/>
      <c r="D167" s="463"/>
      <c r="E167" s="463"/>
      <c r="F167" s="463"/>
      <c r="G167" s="463"/>
      <c r="H167" s="463"/>
      <c r="I167" s="463"/>
      <c r="J167" s="463"/>
      <c r="K167" s="463"/>
      <c r="L167" s="463"/>
    </row>
    <row r="168" spans="1:12">
      <c r="A168" s="463"/>
      <c r="B168" s="463"/>
      <c r="C168" s="463"/>
      <c r="D168" s="463"/>
      <c r="E168" s="463"/>
      <c r="F168" s="463"/>
      <c r="G168" s="463"/>
      <c r="H168" s="463"/>
      <c r="I168" s="463"/>
      <c r="J168" s="463"/>
      <c r="K168" s="463"/>
      <c r="L168" s="463"/>
    </row>
    <row r="169" spans="1:12">
      <c r="A169" s="463"/>
      <c r="B169" s="463"/>
      <c r="C169" s="463"/>
      <c r="D169" s="463"/>
      <c r="E169" s="463"/>
      <c r="F169" s="463"/>
      <c r="G169" s="463"/>
      <c r="H169" s="463"/>
      <c r="I169" s="463"/>
      <c r="J169" s="463"/>
      <c r="K169" s="463"/>
      <c r="L169" s="463"/>
    </row>
    <row r="170" spans="1:12">
      <c r="A170" s="463"/>
      <c r="B170" s="463"/>
      <c r="C170" s="463"/>
      <c r="D170" s="463"/>
      <c r="E170" s="463"/>
      <c r="F170" s="463"/>
      <c r="G170" s="463"/>
      <c r="H170" s="463"/>
      <c r="I170" s="463"/>
      <c r="J170" s="463"/>
      <c r="K170" s="463"/>
      <c r="L170" s="463"/>
    </row>
    <row r="171" spans="1:12">
      <c r="A171" s="463"/>
      <c r="B171" s="463"/>
      <c r="C171" s="463"/>
      <c r="D171" s="463"/>
      <c r="E171" s="463"/>
      <c r="F171" s="463"/>
      <c r="G171" s="463"/>
      <c r="H171" s="463"/>
      <c r="I171" s="463"/>
      <c r="J171" s="463"/>
      <c r="K171" s="463"/>
      <c r="L171" s="463"/>
    </row>
    <row r="172" spans="1:12">
      <c r="A172" s="463"/>
      <c r="B172" s="463"/>
      <c r="C172" s="463"/>
      <c r="D172" s="463"/>
      <c r="E172" s="463"/>
      <c r="F172" s="463"/>
      <c r="G172" s="463"/>
      <c r="H172" s="463"/>
      <c r="I172" s="463"/>
      <c r="J172" s="463"/>
      <c r="K172" s="463"/>
      <c r="L172" s="463"/>
    </row>
    <row r="173" spans="1:12">
      <c r="A173" s="463"/>
      <c r="B173" s="463"/>
      <c r="C173" s="463"/>
      <c r="D173" s="463"/>
      <c r="E173" s="463"/>
      <c r="F173" s="463"/>
      <c r="G173" s="463"/>
      <c r="H173" s="463"/>
      <c r="I173" s="463"/>
      <c r="J173" s="463"/>
      <c r="K173" s="463"/>
      <c r="L173" s="463"/>
    </row>
    <row r="174" spans="1:12">
      <c r="A174" s="463"/>
      <c r="B174" s="463"/>
      <c r="C174" s="463"/>
      <c r="D174" s="463"/>
      <c r="E174" s="463"/>
      <c r="F174" s="463"/>
      <c r="G174" s="463"/>
      <c r="H174" s="463"/>
      <c r="I174" s="463"/>
      <c r="J174" s="463"/>
      <c r="K174" s="463"/>
      <c r="L174" s="463"/>
    </row>
    <row r="175" spans="1:12">
      <c r="A175" s="463"/>
      <c r="B175" s="463"/>
      <c r="C175" s="463"/>
      <c r="D175" s="463"/>
      <c r="E175" s="463"/>
      <c r="F175" s="463"/>
      <c r="G175" s="463"/>
      <c r="H175" s="463"/>
      <c r="I175" s="463"/>
      <c r="J175" s="463"/>
      <c r="K175" s="463"/>
      <c r="L175" s="463"/>
    </row>
    <row r="176" spans="1:12">
      <c r="A176" s="463"/>
      <c r="B176" s="463"/>
      <c r="C176" s="463"/>
      <c r="D176" s="463"/>
      <c r="E176" s="463"/>
      <c r="F176" s="463"/>
      <c r="G176" s="463"/>
      <c r="H176" s="463"/>
      <c r="I176" s="463"/>
      <c r="J176" s="463"/>
      <c r="K176" s="463"/>
      <c r="L176" s="463"/>
    </row>
    <row r="177" spans="1:12">
      <c r="A177" s="463"/>
      <c r="B177" s="463"/>
      <c r="C177" s="463"/>
      <c r="D177" s="463"/>
      <c r="E177" s="463"/>
      <c r="F177" s="463"/>
      <c r="G177" s="463"/>
      <c r="H177" s="463"/>
      <c r="I177" s="463"/>
      <c r="J177" s="463"/>
      <c r="K177" s="463"/>
      <c r="L177" s="463"/>
    </row>
    <row r="178" spans="1:12">
      <c r="A178" s="463"/>
      <c r="B178" s="463"/>
      <c r="C178" s="463"/>
      <c r="D178" s="463"/>
      <c r="E178" s="463"/>
      <c r="F178" s="463"/>
      <c r="G178" s="463"/>
      <c r="H178" s="463"/>
      <c r="I178" s="463"/>
      <c r="J178" s="463"/>
      <c r="K178" s="463"/>
      <c r="L178" s="463"/>
    </row>
    <row r="179" spans="1:12">
      <c r="A179" s="463"/>
      <c r="B179" s="463"/>
      <c r="C179" s="463"/>
      <c r="D179" s="463"/>
      <c r="E179" s="463"/>
      <c r="F179" s="463"/>
      <c r="G179" s="463"/>
      <c r="H179" s="463"/>
      <c r="I179" s="463"/>
      <c r="J179" s="463"/>
      <c r="K179" s="463"/>
      <c r="L179" s="463"/>
    </row>
    <row r="180" spans="1:12">
      <c r="A180" s="463"/>
      <c r="B180" s="463"/>
      <c r="C180" s="463"/>
      <c r="D180" s="463"/>
      <c r="E180" s="463"/>
      <c r="F180" s="463"/>
      <c r="G180" s="463"/>
      <c r="H180" s="463"/>
      <c r="I180" s="463"/>
      <c r="J180" s="463"/>
      <c r="K180" s="463"/>
      <c r="L180" s="463"/>
    </row>
    <row r="181" spans="1:12">
      <c r="A181" s="463"/>
      <c r="B181" s="463"/>
      <c r="C181" s="463"/>
      <c r="D181" s="463"/>
      <c r="E181" s="463"/>
      <c r="F181" s="463"/>
      <c r="G181" s="463"/>
      <c r="H181" s="463"/>
      <c r="I181" s="463"/>
      <c r="J181" s="463"/>
      <c r="K181" s="463"/>
      <c r="L181" s="463"/>
    </row>
    <row r="182" spans="1:12">
      <c r="A182" s="463"/>
      <c r="B182" s="463"/>
      <c r="C182" s="463"/>
      <c r="D182" s="463"/>
      <c r="E182" s="463"/>
      <c r="F182" s="463"/>
      <c r="G182" s="463"/>
      <c r="H182" s="463"/>
      <c r="I182" s="463"/>
      <c r="J182" s="463"/>
      <c r="K182" s="463"/>
      <c r="L182" s="463"/>
    </row>
    <row r="183" spans="1:12">
      <c r="A183" s="463"/>
      <c r="B183" s="463"/>
      <c r="C183" s="463"/>
      <c r="D183" s="463"/>
      <c r="E183" s="463"/>
      <c r="F183" s="463"/>
      <c r="G183" s="463"/>
      <c r="H183" s="463"/>
      <c r="I183" s="463"/>
      <c r="J183" s="463"/>
      <c r="K183" s="463"/>
      <c r="L183" s="463"/>
    </row>
    <row r="184" spans="1:12">
      <c r="A184" s="463"/>
      <c r="B184" s="463"/>
      <c r="C184" s="463"/>
      <c r="D184" s="463"/>
      <c r="E184" s="463"/>
      <c r="F184" s="463"/>
      <c r="G184" s="463"/>
      <c r="H184" s="463"/>
      <c r="I184" s="463"/>
      <c r="J184" s="463"/>
      <c r="K184" s="463"/>
      <c r="L184" s="463"/>
    </row>
    <row r="185" spans="1:12">
      <c r="A185" s="463"/>
      <c r="B185" s="463"/>
      <c r="C185" s="463"/>
      <c r="D185" s="463"/>
      <c r="E185" s="463"/>
      <c r="F185" s="463"/>
      <c r="G185" s="463"/>
      <c r="H185" s="463"/>
      <c r="I185" s="463"/>
      <c r="J185" s="463"/>
      <c r="K185" s="463"/>
      <c r="L185" s="463"/>
    </row>
    <row r="186" spans="1:12">
      <c r="A186" s="463"/>
      <c r="B186" s="463"/>
      <c r="C186" s="463"/>
      <c r="D186" s="463"/>
      <c r="E186" s="463"/>
      <c r="F186" s="463"/>
      <c r="G186" s="463"/>
      <c r="H186" s="463"/>
      <c r="I186" s="463"/>
      <c r="J186" s="463"/>
      <c r="K186" s="463"/>
      <c r="L186" s="463"/>
    </row>
    <row r="187" spans="1:12">
      <c r="A187" s="463"/>
      <c r="B187" s="463"/>
      <c r="C187" s="463"/>
      <c r="D187" s="463"/>
      <c r="E187" s="463"/>
      <c r="F187" s="463"/>
      <c r="G187" s="463"/>
      <c r="H187" s="463"/>
      <c r="I187" s="463"/>
      <c r="J187" s="463"/>
      <c r="K187" s="463"/>
      <c r="L187" s="463"/>
    </row>
    <row r="188" spans="1:12">
      <c r="A188" s="463"/>
      <c r="B188" s="463"/>
      <c r="C188" s="463"/>
      <c r="D188" s="463"/>
      <c r="E188" s="463"/>
      <c r="F188" s="463"/>
      <c r="G188" s="463"/>
      <c r="H188" s="463"/>
      <c r="I188" s="463"/>
      <c r="J188" s="463"/>
      <c r="K188" s="463"/>
      <c r="L188" s="463"/>
    </row>
    <row r="189" spans="1:12">
      <c r="A189" s="463"/>
      <c r="B189" s="463"/>
      <c r="C189" s="463"/>
      <c r="D189" s="463"/>
      <c r="E189" s="463"/>
      <c r="F189" s="463"/>
      <c r="G189" s="463"/>
      <c r="H189" s="463"/>
      <c r="I189" s="463"/>
      <c r="J189" s="463"/>
      <c r="K189" s="463"/>
      <c r="L189" s="463"/>
    </row>
    <row r="190" spans="1:12">
      <c r="A190" s="463"/>
      <c r="B190" s="463"/>
      <c r="C190" s="463"/>
      <c r="D190" s="463"/>
      <c r="E190" s="463"/>
      <c r="F190" s="463"/>
      <c r="G190" s="463"/>
      <c r="H190" s="463"/>
      <c r="I190" s="463"/>
      <c r="J190" s="463"/>
      <c r="K190" s="463"/>
      <c r="L190" s="463"/>
    </row>
    <row r="191" spans="1:12">
      <c r="A191" s="463"/>
      <c r="B191" s="463"/>
      <c r="C191" s="463"/>
      <c r="D191" s="463"/>
      <c r="E191" s="463"/>
      <c r="F191" s="463"/>
      <c r="G191" s="463"/>
      <c r="H191" s="463"/>
      <c r="I191" s="463"/>
      <c r="J191" s="463"/>
      <c r="K191" s="463"/>
      <c r="L191" s="463"/>
    </row>
    <row r="192" spans="1:12">
      <c r="A192" s="463"/>
      <c r="B192" s="463"/>
      <c r="C192" s="463"/>
      <c r="D192" s="463"/>
      <c r="E192" s="463"/>
      <c r="F192" s="463"/>
      <c r="G192" s="463"/>
      <c r="H192" s="463"/>
      <c r="I192" s="463"/>
      <c r="J192" s="463"/>
      <c r="K192" s="463"/>
      <c r="L192" s="463"/>
    </row>
    <row r="193" spans="1:12">
      <c r="A193" s="463"/>
      <c r="B193" s="463"/>
      <c r="C193" s="463"/>
      <c r="D193" s="463"/>
      <c r="E193" s="463"/>
      <c r="F193" s="463"/>
      <c r="G193" s="463"/>
      <c r="H193" s="463"/>
      <c r="I193" s="463"/>
      <c r="J193" s="463"/>
      <c r="K193" s="463"/>
      <c r="L193" s="463"/>
    </row>
    <row r="194" spans="1:12">
      <c r="A194" s="463"/>
      <c r="B194" s="463"/>
      <c r="C194" s="463"/>
      <c r="D194" s="463"/>
      <c r="E194" s="463"/>
      <c r="F194" s="463"/>
      <c r="G194" s="463"/>
      <c r="H194" s="463"/>
      <c r="I194" s="463"/>
      <c r="J194" s="463"/>
      <c r="K194" s="463"/>
      <c r="L194" s="463"/>
    </row>
    <row r="195" spans="1:12">
      <c r="A195" s="463"/>
      <c r="B195" s="463"/>
      <c r="C195" s="463"/>
      <c r="D195" s="463"/>
      <c r="E195" s="463"/>
      <c r="F195" s="463"/>
      <c r="G195" s="463"/>
      <c r="H195" s="463"/>
      <c r="I195" s="463"/>
      <c r="J195" s="463"/>
      <c r="K195" s="463"/>
      <c r="L195" s="463"/>
    </row>
    <row r="196" spans="1:12">
      <c r="A196" s="463"/>
      <c r="B196" s="463"/>
      <c r="C196" s="463"/>
      <c r="D196" s="463"/>
      <c r="E196" s="463"/>
      <c r="F196" s="463"/>
      <c r="G196" s="463"/>
      <c r="H196" s="463"/>
      <c r="I196" s="463"/>
      <c r="J196" s="463"/>
      <c r="K196" s="463"/>
      <c r="L196" s="463"/>
    </row>
    <row r="197" spans="1:12">
      <c r="A197" s="463"/>
      <c r="B197" s="463"/>
      <c r="C197" s="463"/>
      <c r="D197" s="463"/>
      <c r="E197" s="463"/>
      <c r="F197" s="463"/>
      <c r="G197" s="463"/>
      <c r="H197" s="463"/>
      <c r="I197" s="463"/>
      <c r="J197" s="463"/>
      <c r="K197" s="463"/>
      <c r="L197" s="463"/>
    </row>
    <row r="198" spans="1:12">
      <c r="A198" s="463"/>
      <c r="B198" s="463"/>
      <c r="C198" s="463"/>
      <c r="D198" s="463"/>
      <c r="E198" s="463"/>
      <c r="F198" s="463"/>
      <c r="G198" s="463"/>
      <c r="H198" s="463"/>
      <c r="I198" s="463"/>
      <c r="J198" s="463"/>
      <c r="K198" s="463"/>
      <c r="L198" s="463"/>
    </row>
    <row r="199" spans="1:12">
      <c r="A199" s="463"/>
      <c r="B199" s="463"/>
      <c r="C199" s="463"/>
      <c r="D199" s="463"/>
      <c r="E199" s="463"/>
      <c r="F199" s="463"/>
      <c r="G199" s="463"/>
      <c r="H199" s="463"/>
      <c r="I199" s="463"/>
      <c r="J199" s="463"/>
      <c r="K199" s="463"/>
      <c r="L199" s="463"/>
    </row>
    <row r="200" spans="1:12">
      <c r="A200" s="463"/>
      <c r="B200" s="463"/>
      <c r="C200" s="463"/>
      <c r="D200" s="463"/>
      <c r="E200" s="463"/>
      <c r="F200" s="463"/>
      <c r="G200" s="463"/>
      <c r="H200" s="463"/>
      <c r="I200" s="463"/>
      <c r="J200" s="463"/>
      <c r="K200" s="463"/>
      <c r="L200" s="463"/>
    </row>
    <row r="201" spans="1:12">
      <c r="A201" s="463"/>
      <c r="B201" s="463"/>
      <c r="C201" s="463"/>
      <c r="D201" s="463"/>
      <c r="E201" s="463"/>
      <c r="F201" s="463"/>
      <c r="G201" s="463"/>
      <c r="H201" s="463"/>
      <c r="I201" s="463"/>
      <c r="J201" s="463"/>
      <c r="K201" s="463"/>
      <c r="L201" s="463"/>
    </row>
    <row r="202" spans="1:12">
      <c r="A202" s="463"/>
      <c r="B202" s="463"/>
      <c r="C202" s="463"/>
      <c r="D202" s="463"/>
      <c r="E202" s="463"/>
      <c r="F202" s="463"/>
      <c r="G202" s="463"/>
      <c r="H202" s="463"/>
      <c r="I202" s="463"/>
      <c r="J202" s="463"/>
      <c r="K202" s="463"/>
      <c r="L202" s="463"/>
    </row>
    <row r="203" spans="1:12">
      <c r="A203" s="463"/>
      <c r="B203" s="463"/>
      <c r="C203" s="463"/>
      <c r="D203" s="463"/>
      <c r="E203" s="463"/>
      <c r="F203" s="463"/>
      <c r="G203" s="463"/>
      <c r="H203" s="463"/>
      <c r="I203" s="463"/>
      <c r="J203" s="463"/>
      <c r="K203" s="463"/>
      <c r="L203" s="463"/>
    </row>
    <row r="204" spans="1:12">
      <c r="A204" s="463"/>
      <c r="B204" s="463"/>
      <c r="C204" s="463"/>
      <c r="D204" s="463"/>
      <c r="E204" s="463"/>
      <c r="F204" s="463"/>
      <c r="G204" s="463"/>
      <c r="H204" s="463"/>
      <c r="I204" s="463"/>
      <c r="J204" s="463"/>
      <c r="K204" s="463"/>
      <c r="L204" s="463"/>
    </row>
    <row r="205" spans="1:12">
      <c r="A205" s="463"/>
      <c r="B205" s="463"/>
      <c r="C205" s="463"/>
      <c r="D205" s="463"/>
      <c r="E205" s="463"/>
      <c r="F205" s="463"/>
      <c r="G205" s="463"/>
      <c r="H205" s="463"/>
      <c r="I205" s="463"/>
      <c r="J205" s="463"/>
      <c r="K205" s="463"/>
      <c r="L205" s="463"/>
    </row>
    <row r="206" spans="1:12">
      <c r="A206" s="463"/>
      <c r="B206" s="463"/>
      <c r="C206" s="463"/>
      <c r="D206" s="463"/>
      <c r="E206" s="463"/>
      <c r="F206" s="463"/>
      <c r="G206" s="463"/>
      <c r="H206" s="463"/>
      <c r="I206" s="463"/>
      <c r="J206" s="463"/>
      <c r="K206" s="463"/>
      <c r="L206" s="463"/>
    </row>
    <row r="207" spans="1:12">
      <c r="A207" s="463"/>
      <c r="B207" s="463"/>
      <c r="C207" s="463"/>
      <c r="D207" s="463"/>
      <c r="E207" s="463"/>
      <c r="F207" s="463"/>
      <c r="G207" s="463"/>
      <c r="H207" s="463"/>
      <c r="I207" s="463"/>
      <c r="J207" s="463"/>
      <c r="K207" s="463"/>
      <c r="L207" s="463"/>
    </row>
    <row r="208" spans="1:12">
      <c r="A208" s="463"/>
      <c r="B208" s="463"/>
      <c r="C208" s="463"/>
      <c r="D208" s="463"/>
      <c r="E208" s="463"/>
      <c r="F208" s="463"/>
      <c r="G208" s="463"/>
      <c r="H208" s="463"/>
      <c r="I208" s="463"/>
      <c r="J208" s="463"/>
      <c r="K208" s="463"/>
      <c r="L208" s="463"/>
    </row>
    <row r="209" spans="1:12">
      <c r="A209" s="463"/>
      <c r="B209" s="463"/>
      <c r="C209" s="463"/>
      <c r="D209" s="463"/>
      <c r="E209" s="463"/>
      <c r="F209" s="463"/>
      <c r="G209" s="463"/>
      <c r="H209" s="463"/>
      <c r="I209" s="463"/>
      <c r="J209" s="463"/>
      <c r="K209" s="463"/>
      <c r="L209" s="463"/>
    </row>
    <row r="210" spans="1:12">
      <c r="A210" s="463"/>
      <c r="B210" s="463"/>
      <c r="C210" s="463"/>
      <c r="D210" s="463"/>
      <c r="E210" s="463"/>
      <c r="F210" s="463"/>
      <c r="G210" s="463"/>
      <c r="H210" s="463"/>
      <c r="I210" s="463"/>
      <c r="J210" s="463"/>
      <c r="K210" s="463"/>
      <c r="L210" s="463"/>
    </row>
    <row r="211" spans="1:12">
      <c r="A211" s="463"/>
      <c r="B211" s="463"/>
      <c r="C211" s="463"/>
      <c r="D211" s="463"/>
      <c r="E211" s="463"/>
      <c r="F211" s="463"/>
      <c r="G211" s="463"/>
      <c r="H211" s="463"/>
      <c r="I211" s="463"/>
      <c r="J211" s="463"/>
      <c r="K211" s="463"/>
      <c r="L211" s="463"/>
    </row>
    <row r="212" spans="1:12">
      <c r="A212" s="463"/>
      <c r="B212" s="463"/>
      <c r="C212" s="463"/>
      <c r="D212" s="463"/>
      <c r="E212" s="463"/>
      <c r="F212" s="463"/>
      <c r="G212" s="463"/>
      <c r="H212" s="463"/>
      <c r="I212" s="463"/>
      <c r="J212" s="463"/>
      <c r="K212" s="463"/>
      <c r="L212" s="463"/>
    </row>
    <row r="213" spans="1:12">
      <c r="A213" s="463"/>
      <c r="B213" s="463"/>
      <c r="C213" s="463"/>
      <c r="D213" s="463"/>
      <c r="E213" s="463"/>
      <c r="F213" s="463"/>
      <c r="G213" s="463"/>
      <c r="H213" s="463"/>
      <c r="I213" s="463"/>
      <c r="J213" s="463"/>
      <c r="K213" s="463"/>
      <c r="L213" s="463"/>
    </row>
    <row r="214" spans="1:12">
      <c r="A214" s="463"/>
      <c r="B214" s="463"/>
      <c r="C214" s="463"/>
      <c r="D214" s="463"/>
      <c r="E214" s="463"/>
      <c r="F214" s="463"/>
      <c r="G214" s="463"/>
      <c r="H214" s="463"/>
      <c r="I214" s="463"/>
      <c r="J214" s="463"/>
      <c r="K214" s="463"/>
      <c r="L214" s="463"/>
    </row>
    <row r="215" spans="1:12">
      <c r="A215" s="463"/>
      <c r="B215" s="463"/>
      <c r="C215" s="463"/>
      <c r="D215" s="463"/>
      <c r="E215" s="463"/>
      <c r="F215" s="463"/>
      <c r="G215" s="463"/>
      <c r="H215" s="463"/>
      <c r="I215" s="463"/>
      <c r="J215" s="463"/>
      <c r="K215" s="463"/>
      <c r="L215" s="463"/>
    </row>
    <row r="216" spans="1:12">
      <c r="A216" s="463"/>
      <c r="B216" s="463"/>
      <c r="C216" s="463"/>
      <c r="D216" s="463"/>
      <c r="E216" s="463"/>
      <c r="F216" s="463"/>
      <c r="G216" s="463"/>
      <c r="H216" s="463"/>
      <c r="I216" s="463"/>
      <c r="J216" s="463"/>
      <c r="K216" s="463"/>
      <c r="L216" s="463"/>
    </row>
    <row r="217" spans="1:12">
      <c r="A217" s="463"/>
      <c r="B217" s="463"/>
      <c r="C217" s="463"/>
      <c r="D217" s="463"/>
      <c r="E217" s="463"/>
      <c r="F217" s="463"/>
      <c r="G217" s="463"/>
      <c r="H217" s="463"/>
      <c r="I217" s="463"/>
      <c r="J217" s="463"/>
      <c r="K217" s="463"/>
      <c r="L217" s="463"/>
    </row>
    <row r="218" spans="1:12">
      <c r="A218" s="463"/>
      <c r="B218" s="463"/>
      <c r="C218" s="463"/>
      <c r="D218" s="463"/>
      <c r="E218" s="463"/>
      <c r="F218" s="463"/>
      <c r="G218" s="463"/>
      <c r="H218" s="463"/>
      <c r="I218" s="463"/>
      <c r="J218" s="463"/>
      <c r="K218" s="463"/>
      <c r="L218" s="463"/>
    </row>
    <row r="219" spans="1:12">
      <c r="A219" s="463"/>
      <c r="B219" s="463"/>
      <c r="C219" s="463"/>
      <c r="D219" s="463"/>
      <c r="E219" s="463"/>
      <c r="F219" s="463"/>
      <c r="G219" s="463"/>
      <c r="H219" s="463"/>
      <c r="I219" s="463"/>
      <c r="J219" s="463"/>
      <c r="K219" s="463"/>
      <c r="L219" s="463"/>
    </row>
    <row r="220" spans="1:12">
      <c r="A220" s="463"/>
      <c r="B220" s="463"/>
      <c r="C220" s="463"/>
      <c r="D220" s="463"/>
      <c r="E220" s="463"/>
      <c r="F220" s="463"/>
      <c r="G220" s="463"/>
      <c r="H220" s="463"/>
      <c r="I220" s="463"/>
      <c r="J220" s="463"/>
      <c r="K220" s="463"/>
      <c r="L220" s="463"/>
    </row>
    <row r="221" spans="1:12">
      <c r="A221" s="463"/>
      <c r="B221" s="463"/>
      <c r="C221" s="463"/>
      <c r="D221" s="463"/>
      <c r="E221" s="463"/>
      <c r="F221" s="463"/>
      <c r="G221" s="463"/>
      <c r="H221" s="463"/>
      <c r="I221" s="463"/>
      <c r="J221" s="463"/>
      <c r="K221" s="463"/>
      <c r="L221" s="463"/>
    </row>
    <row r="222" spans="1:12">
      <c r="A222" s="463"/>
      <c r="B222" s="463"/>
      <c r="C222" s="463"/>
      <c r="D222" s="463"/>
      <c r="E222" s="463"/>
      <c r="F222" s="463"/>
      <c r="G222" s="463"/>
      <c r="H222" s="463"/>
      <c r="I222" s="463"/>
      <c r="J222" s="463"/>
      <c r="K222" s="463"/>
      <c r="L222" s="463"/>
    </row>
    <row r="223" spans="1:12">
      <c r="A223" s="463"/>
      <c r="B223" s="463"/>
      <c r="C223" s="463"/>
      <c r="D223" s="463"/>
      <c r="E223" s="463"/>
      <c r="F223" s="463"/>
      <c r="G223" s="463"/>
      <c r="H223" s="463"/>
      <c r="I223" s="463"/>
      <c r="J223" s="463"/>
      <c r="K223" s="463"/>
      <c r="L223" s="463"/>
    </row>
    <row r="224" spans="1:12">
      <c r="A224" s="463"/>
      <c r="B224" s="463"/>
      <c r="C224" s="463"/>
      <c r="D224" s="463"/>
      <c r="E224" s="463"/>
      <c r="F224" s="463"/>
      <c r="G224" s="463"/>
      <c r="H224" s="463"/>
      <c r="I224" s="463"/>
      <c r="J224" s="463"/>
      <c r="K224" s="463"/>
      <c r="L224" s="463"/>
    </row>
    <row r="225" spans="1:12">
      <c r="A225" s="463"/>
      <c r="B225" s="463"/>
      <c r="C225" s="463"/>
      <c r="D225" s="463"/>
      <c r="E225" s="463"/>
      <c r="F225" s="463"/>
      <c r="G225" s="463"/>
      <c r="H225" s="463"/>
      <c r="I225" s="463"/>
      <c r="J225" s="463"/>
      <c r="K225" s="463"/>
      <c r="L225" s="463"/>
    </row>
    <row r="226" spans="1:12">
      <c r="A226" s="463"/>
      <c r="B226" s="463"/>
      <c r="C226" s="463"/>
      <c r="D226" s="463"/>
      <c r="E226" s="463"/>
      <c r="F226" s="463"/>
      <c r="G226" s="463"/>
      <c r="H226" s="463"/>
      <c r="I226" s="463"/>
      <c r="J226" s="463"/>
      <c r="K226" s="463"/>
      <c r="L226" s="463"/>
    </row>
    <row r="227" spans="1:12">
      <c r="A227" s="463"/>
      <c r="B227" s="463"/>
      <c r="C227" s="463"/>
      <c r="D227" s="463"/>
      <c r="E227" s="463"/>
      <c r="F227" s="463"/>
      <c r="G227" s="463"/>
      <c r="H227" s="463"/>
      <c r="I227" s="463"/>
      <c r="J227" s="463"/>
      <c r="K227" s="463"/>
      <c r="L227" s="463"/>
    </row>
    <row r="228" spans="1:12">
      <c r="A228" s="463"/>
      <c r="B228" s="463"/>
      <c r="C228" s="463"/>
      <c r="D228" s="463"/>
      <c r="E228" s="463"/>
      <c r="F228" s="463"/>
      <c r="G228" s="463"/>
      <c r="H228" s="463"/>
      <c r="I228" s="463"/>
      <c r="J228" s="463"/>
      <c r="K228" s="463"/>
      <c r="L228" s="463"/>
    </row>
    <row r="229" spans="1:12">
      <c r="A229" s="463"/>
      <c r="B229" s="463"/>
      <c r="C229" s="463"/>
      <c r="D229" s="463"/>
      <c r="E229" s="463"/>
      <c r="F229" s="463"/>
      <c r="G229" s="463"/>
      <c r="H229" s="463"/>
      <c r="I229" s="463"/>
      <c r="J229" s="463"/>
      <c r="K229" s="463"/>
      <c r="L229" s="463"/>
    </row>
    <row r="230" spans="1:12">
      <c r="A230" s="463"/>
      <c r="B230" s="463"/>
      <c r="C230" s="463"/>
      <c r="D230" s="463"/>
      <c r="E230" s="463"/>
      <c r="F230" s="463"/>
      <c r="G230" s="463"/>
      <c r="H230" s="463"/>
      <c r="I230" s="463"/>
      <c r="J230" s="463"/>
      <c r="K230" s="463"/>
      <c r="L230" s="463"/>
    </row>
    <row r="231" spans="1:12">
      <c r="A231" s="463"/>
      <c r="B231" s="463"/>
      <c r="C231" s="463"/>
      <c r="D231" s="463"/>
      <c r="E231" s="463"/>
      <c r="F231" s="463"/>
      <c r="G231" s="463"/>
      <c r="H231" s="463"/>
      <c r="I231" s="463"/>
      <c r="J231" s="463"/>
      <c r="K231" s="463"/>
      <c r="L231" s="463"/>
    </row>
    <row r="232" spans="1:12">
      <c r="A232" s="463"/>
      <c r="B232" s="463"/>
      <c r="C232" s="463"/>
      <c r="D232" s="463"/>
      <c r="E232" s="463"/>
      <c r="F232" s="463"/>
      <c r="G232" s="463"/>
      <c r="H232" s="463"/>
      <c r="I232" s="463"/>
      <c r="J232" s="463"/>
      <c r="K232" s="463"/>
      <c r="L232" s="463"/>
    </row>
    <row r="233" spans="1:12">
      <c r="A233" s="463"/>
      <c r="B233" s="463"/>
      <c r="C233" s="463"/>
      <c r="D233" s="463"/>
      <c r="E233" s="463"/>
      <c r="F233" s="463"/>
      <c r="G233" s="463"/>
      <c r="H233" s="463"/>
      <c r="I233" s="463"/>
      <c r="J233" s="463"/>
      <c r="K233" s="463"/>
      <c r="L233" s="463"/>
    </row>
    <row r="234" spans="1:12">
      <c r="A234" s="463"/>
      <c r="B234" s="463"/>
      <c r="C234" s="463"/>
      <c r="D234" s="463"/>
      <c r="E234" s="463"/>
      <c r="F234" s="463"/>
      <c r="G234" s="463"/>
      <c r="H234" s="463"/>
      <c r="I234" s="463"/>
      <c r="J234" s="463"/>
      <c r="K234" s="463"/>
      <c r="L234" s="463"/>
    </row>
    <row r="235" spans="1:12">
      <c r="A235" s="463"/>
      <c r="B235" s="463"/>
      <c r="C235" s="463"/>
      <c r="D235" s="463"/>
      <c r="E235" s="463"/>
      <c r="F235" s="463"/>
      <c r="G235" s="463"/>
      <c r="H235" s="463"/>
      <c r="I235" s="463"/>
      <c r="J235" s="463"/>
      <c r="K235" s="463"/>
      <c r="L235" s="463"/>
    </row>
    <row r="236" spans="1:12">
      <c r="A236" s="463"/>
      <c r="B236" s="463"/>
      <c r="C236" s="463"/>
      <c r="D236" s="463"/>
      <c r="E236" s="463"/>
      <c r="F236" s="463"/>
      <c r="G236" s="463"/>
      <c r="H236" s="463"/>
      <c r="I236" s="463"/>
      <c r="J236" s="463"/>
      <c r="K236" s="463"/>
      <c r="L236" s="463"/>
    </row>
    <row r="237" spans="1:12">
      <c r="A237" s="463"/>
      <c r="B237" s="463"/>
      <c r="C237" s="463"/>
      <c r="D237" s="463"/>
      <c r="E237" s="463"/>
      <c r="F237" s="463"/>
      <c r="G237" s="463"/>
      <c r="H237" s="463"/>
      <c r="I237" s="463"/>
      <c r="J237" s="463"/>
      <c r="K237" s="463"/>
      <c r="L237" s="463"/>
    </row>
    <row r="238" spans="1:12">
      <c r="A238" s="463"/>
      <c r="B238" s="463"/>
      <c r="C238" s="463"/>
      <c r="D238" s="463"/>
      <c r="E238" s="463"/>
      <c r="F238" s="463"/>
      <c r="G238" s="463"/>
      <c r="H238" s="463"/>
      <c r="I238" s="463"/>
      <c r="J238" s="463"/>
      <c r="K238" s="463"/>
      <c r="L238" s="463"/>
    </row>
    <row r="239" spans="1:12">
      <c r="A239" s="463"/>
      <c r="B239" s="463"/>
      <c r="C239" s="463"/>
      <c r="D239" s="463"/>
      <c r="E239" s="463"/>
      <c r="F239" s="463"/>
      <c r="G239" s="463"/>
      <c r="H239" s="463"/>
      <c r="I239" s="463"/>
      <c r="J239" s="463"/>
      <c r="K239" s="463"/>
      <c r="L239" s="463"/>
    </row>
    <row r="240" spans="1:12">
      <c r="A240" s="463"/>
      <c r="B240" s="463"/>
      <c r="C240" s="463"/>
      <c r="D240" s="463"/>
      <c r="E240" s="463"/>
      <c r="F240" s="463"/>
      <c r="G240" s="463"/>
      <c r="H240" s="463"/>
      <c r="I240" s="463"/>
      <c r="J240" s="463"/>
      <c r="K240" s="463"/>
      <c r="L240" s="463"/>
    </row>
    <row r="241" spans="1:12">
      <c r="A241" s="463"/>
      <c r="B241" s="463"/>
      <c r="C241" s="463"/>
      <c r="D241" s="463"/>
      <c r="E241" s="463"/>
      <c r="F241" s="463"/>
      <c r="G241" s="463"/>
      <c r="H241" s="463"/>
      <c r="I241" s="463"/>
      <c r="J241" s="463"/>
      <c r="K241" s="463"/>
      <c r="L241" s="463"/>
    </row>
    <row r="242" spans="1:12">
      <c r="A242" s="463"/>
      <c r="B242" s="463"/>
      <c r="C242" s="463"/>
      <c r="D242" s="463"/>
      <c r="E242" s="463"/>
      <c r="F242" s="463"/>
      <c r="G242" s="463"/>
      <c r="H242" s="463"/>
      <c r="I242" s="463"/>
      <c r="J242" s="463"/>
      <c r="K242" s="463"/>
      <c r="L242" s="463"/>
    </row>
    <row r="243" spans="1:12">
      <c r="A243" s="463"/>
      <c r="B243" s="463"/>
      <c r="C243" s="463"/>
      <c r="D243" s="463"/>
      <c r="E243" s="463"/>
      <c r="F243" s="463"/>
      <c r="G243" s="463"/>
      <c r="H243" s="463"/>
      <c r="I243" s="463"/>
      <c r="J243" s="463"/>
      <c r="K243" s="463"/>
      <c r="L243" s="463"/>
    </row>
    <row r="244" spans="1:12">
      <c r="A244" s="463"/>
      <c r="B244" s="463"/>
      <c r="C244" s="463"/>
      <c r="D244" s="463"/>
      <c r="E244" s="463"/>
      <c r="F244" s="463"/>
      <c r="G244" s="463"/>
      <c r="H244" s="463"/>
      <c r="I244" s="463"/>
      <c r="J244" s="463"/>
      <c r="K244" s="463"/>
      <c r="L244" s="463"/>
    </row>
    <row r="245" spans="1:12">
      <c r="A245" s="463"/>
      <c r="B245" s="463"/>
      <c r="C245" s="463"/>
      <c r="D245" s="463"/>
      <c r="E245" s="463"/>
      <c r="F245" s="463"/>
      <c r="G245" s="463"/>
      <c r="H245" s="463"/>
      <c r="I245" s="463"/>
      <c r="J245" s="463"/>
      <c r="K245" s="463"/>
      <c r="L245" s="463"/>
    </row>
    <row r="246" spans="1:12">
      <c r="A246" s="463"/>
      <c r="B246" s="463"/>
      <c r="C246" s="463"/>
      <c r="D246" s="463"/>
      <c r="E246" s="463"/>
      <c r="F246" s="463"/>
      <c r="G246" s="463"/>
      <c r="H246" s="463"/>
      <c r="I246" s="463"/>
      <c r="J246" s="463"/>
      <c r="K246" s="463"/>
      <c r="L246" s="463"/>
    </row>
    <row r="247" spans="1:12">
      <c r="A247" s="463"/>
      <c r="B247" s="463"/>
      <c r="C247" s="463"/>
      <c r="D247" s="463"/>
      <c r="E247" s="463"/>
      <c r="F247" s="463"/>
      <c r="G247" s="463"/>
      <c r="H247" s="463"/>
      <c r="I247" s="463"/>
      <c r="J247" s="463"/>
      <c r="K247" s="463"/>
      <c r="L247" s="463"/>
    </row>
    <row r="248" spans="1:12">
      <c r="A248" s="463"/>
      <c r="B248" s="463"/>
      <c r="C248" s="463"/>
      <c r="D248" s="463"/>
      <c r="E248" s="463"/>
      <c r="F248" s="463"/>
      <c r="G248" s="463"/>
      <c r="H248" s="463"/>
      <c r="I248" s="463"/>
      <c r="J248" s="463"/>
      <c r="K248" s="463"/>
      <c r="L248" s="463"/>
    </row>
    <row r="249" spans="1:12">
      <c r="A249" s="463"/>
      <c r="B249" s="463"/>
      <c r="C249" s="463"/>
      <c r="D249" s="463"/>
      <c r="E249" s="463"/>
      <c r="F249" s="463"/>
      <c r="G249" s="463"/>
      <c r="H249" s="463"/>
      <c r="I249" s="463"/>
      <c r="J249" s="463"/>
      <c r="K249" s="463"/>
      <c r="L249" s="463"/>
    </row>
    <row r="250" spans="1:12">
      <c r="A250" s="463"/>
      <c r="B250" s="463"/>
      <c r="C250" s="463"/>
      <c r="D250" s="463"/>
      <c r="E250" s="463"/>
      <c r="F250" s="463"/>
      <c r="G250" s="463"/>
      <c r="H250" s="463"/>
      <c r="I250" s="463"/>
      <c r="J250" s="463"/>
      <c r="K250" s="463"/>
      <c r="L250" s="463"/>
    </row>
    <row r="251" spans="1:12">
      <c r="A251" s="463"/>
      <c r="B251" s="463"/>
      <c r="C251" s="463"/>
      <c r="D251" s="463"/>
      <c r="E251" s="463"/>
      <c r="F251" s="463"/>
      <c r="G251" s="463"/>
      <c r="H251" s="463"/>
      <c r="I251" s="463"/>
      <c r="J251" s="463"/>
      <c r="K251" s="463"/>
      <c r="L251" s="463"/>
    </row>
    <row r="252" spans="1:12">
      <c r="A252" s="463"/>
      <c r="B252" s="463"/>
      <c r="C252" s="463"/>
      <c r="D252" s="463"/>
      <c r="E252" s="463"/>
      <c r="F252" s="463"/>
      <c r="G252" s="463"/>
      <c r="H252" s="463"/>
      <c r="I252" s="463"/>
      <c r="J252" s="463"/>
      <c r="K252" s="463"/>
      <c r="L252" s="463"/>
    </row>
    <row r="253" spans="1:12">
      <c r="A253" s="463"/>
      <c r="B253" s="463"/>
      <c r="C253" s="463"/>
      <c r="D253" s="463"/>
      <c r="E253" s="463"/>
      <c r="F253" s="463"/>
      <c r="G253" s="463"/>
      <c r="H253" s="463"/>
      <c r="I253" s="463"/>
      <c r="J253" s="463"/>
      <c r="K253" s="463"/>
      <c r="L253" s="463"/>
    </row>
    <row r="254" spans="1:12">
      <c r="A254" s="463"/>
      <c r="B254" s="463"/>
      <c r="C254" s="463"/>
      <c r="D254" s="463"/>
      <c r="E254" s="463"/>
      <c r="F254" s="463"/>
      <c r="G254" s="463"/>
      <c r="H254" s="463"/>
      <c r="I254" s="463"/>
      <c r="J254" s="463"/>
      <c r="K254" s="463"/>
      <c r="L254" s="463"/>
    </row>
    <row r="255" spans="1:12">
      <c r="A255" s="463"/>
      <c r="B255" s="463"/>
      <c r="C255" s="463"/>
      <c r="D255" s="463"/>
      <c r="E255" s="463"/>
      <c r="F255" s="463"/>
      <c r="G255" s="463"/>
      <c r="H255" s="463"/>
      <c r="I255" s="463"/>
      <c r="J255" s="463"/>
      <c r="K255" s="463"/>
      <c r="L255" s="463"/>
    </row>
    <row r="256" spans="1:12">
      <c r="A256" s="463"/>
      <c r="B256" s="463"/>
      <c r="C256" s="463"/>
      <c r="D256" s="463"/>
      <c r="E256" s="463"/>
      <c r="F256" s="463"/>
      <c r="G256" s="463"/>
      <c r="H256" s="463"/>
      <c r="I256" s="463"/>
      <c r="J256" s="463"/>
      <c r="K256" s="463"/>
      <c r="L256" s="463"/>
    </row>
    <row r="257" spans="1:12">
      <c r="A257" s="463"/>
      <c r="B257" s="463"/>
      <c r="C257" s="463"/>
      <c r="D257" s="463"/>
      <c r="E257" s="463"/>
      <c r="F257" s="463"/>
      <c r="G257" s="463"/>
      <c r="H257" s="463"/>
      <c r="I257" s="463"/>
      <c r="J257" s="463"/>
      <c r="K257" s="463"/>
      <c r="L257" s="463"/>
    </row>
    <row r="258" spans="1:12">
      <c r="A258" s="463"/>
      <c r="B258" s="463"/>
      <c r="C258" s="463"/>
      <c r="D258" s="463"/>
      <c r="E258" s="463"/>
      <c r="F258" s="463"/>
      <c r="G258" s="463"/>
      <c r="H258" s="463"/>
      <c r="I258" s="463"/>
      <c r="J258" s="463"/>
      <c r="K258" s="463"/>
      <c r="L258" s="463"/>
    </row>
    <row r="259" spans="1:12">
      <c r="A259" s="463"/>
      <c r="B259" s="463"/>
      <c r="C259" s="463"/>
      <c r="D259" s="463"/>
      <c r="E259" s="463"/>
      <c r="F259" s="463"/>
      <c r="G259" s="463"/>
      <c r="H259" s="463"/>
      <c r="I259" s="463"/>
      <c r="J259" s="463"/>
      <c r="K259" s="463"/>
      <c r="L259" s="463"/>
    </row>
    <row r="260" spans="1:12">
      <c r="A260" s="463"/>
      <c r="B260" s="463"/>
      <c r="C260" s="463"/>
      <c r="D260" s="463"/>
      <c r="E260" s="463"/>
      <c r="F260" s="463"/>
      <c r="G260" s="463"/>
      <c r="H260" s="463"/>
      <c r="I260" s="463"/>
      <c r="J260" s="463"/>
      <c r="K260" s="463"/>
      <c r="L260" s="463"/>
    </row>
    <row r="261" spans="1:12">
      <c r="A261" s="463"/>
      <c r="B261" s="463"/>
      <c r="C261" s="463"/>
      <c r="D261" s="463"/>
      <c r="E261" s="463"/>
      <c r="F261" s="463"/>
      <c r="G261" s="463"/>
      <c r="H261" s="463"/>
      <c r="I261" s="463"/>
      <c r="J261" s="463"/>
      <c r="K261" s="463"/>
      <c r="L261" s="463"/>
    </row>
    <row r="262" spans="1:12">
      <c r="A262" s="463"/>
      <c r="B262" s="463"/>
      <c r="C262" s="463"/>
      <c r="D262" s="463"/>
      <c r="E262" s="463"/>
      <c r="F262" s="463"/>
      <c r="G262" s="463"/>
      <c r="H262" s="463"/>
      <c r="I262" s="463"/>
      <c r="J262" s="463"/>
      <c r="K262" s="463"/>
      <c r="L262" s="463"/>
    </row>
    <row r="263" spans="1:12">
      <c r="A263" s="463"/>
      <c r="B263" s="463"/>
      <c r="C263" s="463"/>
      <c r="D263" s="463"/>
      <c r="E263" s="463"/>
      <c r="F263" s="463"/>
      <c r="G263" s="463"/>
      <c r="H263" s="463"/>
      <c r="I263" s="463"/>
      <c r="J263" s="463"/>
      <c r="K263" s="463"/>
      <c r="L263" s="463"/>
    </row>
    <row r="264" spans="1:12">
      <c r="A264" s="463"/>
      <c r="B264" s="463"/>
      <c r="C264" s="463"/>
      <c r="D264" s="463"/>
      <c r="E264" s="463"/>
      <c r="F264" s="463"/>
      <c r="G264" s="463"/>
      <c r="H264" s="463"/>
      <c r="I264" s="463"/>
      <c r="J264" s="463"/>
      <c r="K264" s="463"/>
      <c r="L264" s="463"/>
    </row>
    <row r="265" spans="1:12">
      <c r="A265" s="463"/>
      <c r="B265" s="463"/>
      <c r="C265" s="463"/>
      <c r="D265" s="463"/>
      <c r="E265" s="463"/>
      <c r="F265" s="463"/>
      <c r="G265" s="463"/>
      <c r="H265" s="463"/>
      <c r="I265" s="463"/>
      <c r="J265" s="463"/>
      <c r="K265" s="463"/>
      <c r="L265" s="463"/>
    </row>
    <row r="266" spans="1:12">
      <c r="A266" s="463"/>
      <c r="B266" s="463"/>
      <c r="C266" s="463"/>
      <c r="D266" s="463"/>
      <c r="E266" s="463"/>
      <c r="F266" s="463"/>
      <c r="G266" s="463"/>
      <c r="H266" s="463"/>
      <c r="I266" s="463"/>
      <c r="J266" s="463"/>
      <c r="K266" s="463"/>
      <c r="L266" s="463"/>
    </row>
    <row r="267" spans="1:12">
      <c r="A267" s="463"/>
      <c r="B267" s="463"/>
      <c r="C267" s="463"/>
      <c r="D267" s="463"/>
      <c r="E267" s="463"/>
      <c r="F267" s="463"/>
      <c r="G267" s="463"/>
      <c r="H267" s="463"/>
      <c r="I267" s="463"/>
      <c r="J267" s="463"/>
      <c r="K267" s="463"/>
      <c r="L267" s="463"/>
    </row>
    <row r="268" spans="1:12">
      <c r="A268" s="463"/>
      <c r="B268" s="463"/>
      <c r="C268" s="463"/>
      <c r="D268" s="463"/>
      <c r="E268" s="463"/>
      <c r="F268" s="463"/>
      <c r="G268" s="463"/>
      <c r="H268" s="463"/>
      <c r="I268" s="463"/>
      <c r="J268" s="463"/>
      <c r="K268" s="463"/>
      <c r="L268" s="463"/>
    </row>
    <row r="269" spans="1:12">
      <c r="A269" s="463"/>
      <c r="B269" s="463"/>
      <c r="C269" s="463"/>
      <c r="D269" s="463"/>
      <c r="E269" s="463"/>
      <c r="F269" s="463"/>
      <c r="G269" s="463"/>
      <c r="H269" s="463"/>
      <c r="I269" s="463"/>
      <c r="J269" s="463"/>
      <c r="K269" s="463"/>
      <c r="L269" s="463"/>
    </row>
    <row r="270" spans="1:12">
      <c r="A270" s="463"/>
      <c r="B270" s="463"/>
      <c r="C270" s="463"/>
      <c r="D270" s="463"/>
      <c r="E270" s="463"/>
      <c r="F270" s="463"/>
      <c r="G270" s="463"/>
      <c r="H270" s="463"/>
      <c r="I270" s="463"/>
      <c r="J270" s="463"/>
      <c r="K270" s="463"/>
      <c r="L270" s="463"/>
    </row>
    <row r="271" spans="1:12">
      <c r="A271" s="463"/>
      <c r="B271" s="463"/>
      <c r="C271" s="463"/>
      <c r="D271" s="463"/>
      <c r="E271" s="463"/>
      <c r="F271" s="463"/>
      <c r="G271" s="463"/>
      <c r="H271" s="463"/>
      <c r="I271" s="463"/>
      <c r="J271" s="463"/>
      <c r="K271" s="463"/>
      <c r="L271" s="463"/>
    </row>
    <row r="272" spans="1:12">
      <c r="A272" s="463"/>
      <c r="B272" s="463"/>
      <c r="C272" s="463"/>
      <c r="D272" s="463"/>
      <c r="E272" s="463"/>
      <c r="F272" s="463"/>
      <c r="G272" s="463"/>
      <c r="H272" s="463"/>
      <c r="I272" s="463"/>
      <c r="J272" s="463"/>
      <c r="K272" s="463"/>
      <c r="L272" s="463"/>
    </row>
    <row r="273" spans="1:12">
      <c r="A273" s="463"/>
      <c r="B273" s="463"/>
      <c r="C273" s="463"/>
      <c r="D273" s="463"/>
      <c r="E273" s="463"/>
      <c r="F273" s="463"/>
      <c r="G273" s="463"/>
      <c r="H273" s="463"/>
      <c r="I273" s="463"/>
      <c r="J273" s="463"/>
      <c r="K273" s="463"/>
      <c r="L273" s="463"/>
    </row>
    <row r="274" spans="1:12">
      <c r="A274" s="463"/>
      <c r="B274" s="463"/>
      <c r="C274" s="463"/>
      <c r="D274" s="463"/>
      <c r="E274" s="463"/>
      <c r="F274" s="463"/>
      <c r="G274" s="463"/>
      <c r="H274" s="463"/>
      <c r="I274" s="463"/>
      <c r="J274" s="463"/>
      <c r="K274" s="463"/>
      <c r="L274" s="463"/>
    </row>
    <row r="275" spans="1:12">
      <c r="A275" s="463"/>
      <c r="B275" s="463"/>
      <c r="C275" s="463"/>
      <c r="D275" s="463"/>
      <c r="E275" s="463"/>
      <c r="F275" s="463"/>
      <c r="G275" s="463"/>
      <c r="H275" s="463"/>
      <c r="I275" s="463"/>
      <c r="J275" s="463"/>
      <c r="K275" s="463"/>
      <c r="L275" s="463"/>
    </row>
    <row r="276" spans="1:12">
      <c r="A276" s="463"/>
      <c r="B276" s="463"/>
      <c r="C276" s="463"/>
      <c r="D276" s="463"/>
      <c r="E276" s="463"/>
      <c r="F276" s="463"/>
      <c r="G276" s="463"/>
      <c r="H276" s="463"/>
      <c r="I276" s="463"/>
      <c r="J276" s="463"/>
      <c r="K276" s="463"/>
      <c r="L276" s="463"/>
    </row>
    <row r="277" spans="1:12">
      <c r="A277" s="463"/>
      <c r="B277" s="463"/>
      <c r="C277" s="463"/>
      <c r="D277" s="463"/>
      <c r="E277" s="463"/>
      <c r="F277" s="463"/>
      <c r="G277" s="463"/>
      <c r="H277" s="463"/>
      <c r="I277" s="463"/>
      <c r="J277" s="463"/>
      <c r="K277" s="463"/>
      <c r="L277" s="463"/>
    </row>
    <row r="278" spans="1:12">
      <c r="A278" s="463"/>
      <c r="B278" s="463"/>
      <c r="C278" s="463"/>
      <c r="D278" s="463"/>
      <c r="E278" s="463"/>
      <c r="F278" s="463"/>
      <c r="G278" s="463"/>
      <c r="H278" s="463"/>
      <c r="I278" s="463"/>
      <c r="J278" s="463"/>
      <c r="K278" s="463"/>
      <c r="L278" s="463"/>
    </row>
    <row r="279" spans="1:12">
      <c r="A279" s="463"/>
      <c r="B279" s="463"/>
      <c r="C279" s="463"/>
      <c r="D279" s="463"/>
      <c r="E279" s="463"/>
      <c r="F279" s="463"/>
      <c r="G279" s="463"/>
      <c r="H279" s="463"/>
      <c r="I279" s="463"/>
      <c r="J279" s="463"/>
      <c r="K279" s="463"/>
      <c r="L279" s="463"/>
    </row>
    <row r="280" spans="1:12">
      <c r="A280" s="463"/>
      <c r="B280" s="463"/>
      <c r="C280" s="463"/>
      <c r="D280" s="463"/>
      <c r="E280" s="463"/>
      <c r="F280" s="463"/>
      <c r="G280" s="463"/>
      <c r="H280" s="463"/>
      <c r="I280" s="463"/>
      <c r="J280" s="463"/>
      <c r="K280" s="463"/>
      <c r="L280" s="463"/>
    </row>
    <row r="281" spans="1:12">
      <c r="A281" s="463"/>
      <c r="B281" s="463"/>
      <c r="C281" s="463"/>
      <c r="D281" s="463"/>
      <c r="E281" s="463"/>
      <c r="F281" s="463"/>
      <c r="G281" s="463"/>
      <c r="H281" s="463"/>
      <c r="I281" s="463"/>
      <c r="J281" s="463"/>
      <c r="K281" s="463"/>
      <c r="L281" s="463"/>
    </row>
    <row r="282" spans="1:12">
      <c r="A282" s="463"/>
      <c r="B282" s="463"/>
      <c r="C282" s="463"/>
      <c r="D282" s="463"/>
      <c r="E282" s="463"/>
      <c r="F282" s="463"/>
      <c r="G282" s="463"/>
      <c r="H282" s="463"/>
      <c r="I282" s="463"/>
      <c r="J282" s="463"/>
      <c r="K282" s="463"/>
      <c r="L282" s="463"/>
    </row>
    <row r="283" spans="1:12">
      <c r="A283" s="463"/>
      <c r="B283" s="463"/>
      <c r="C283" s="463"/>
      <c r="D283" s="463"/>
      <c r="E283" s="463"/>
      <c r="F283" s="463"/>
      <c r="G283" s="463"/>
      <c r="H283" s="463"/>
      <c r="I283" s="463"/>
      <c r="J283" s="463"/>
      <c r="K283" s="463"/>
      <c r="L283" s="463"/>
    </row>
    <row r="284" spans="1:12">
      <c r="A284" s="463"/>
      <c r="B284" s="463"/>
      <c r="C284" s="463"/>
      <c r="D284" s="463"/>
      <c r="E284" s="463"/>
      <c r="F284" s="463"/>
      <c r="G284" s="463"/>
      <c r="H284" s="463"/>
      <c r="I284" s="463"/>
      <c r="J284" s="463"/>
      <c r="K284" s="463"/>
      <c r="L284" s="463"/>
    </row>
    <row r="285" spans="1:12">
      <c r="A285" s="463"/>
      <c r="B285" s="463"/>
      <c r="C285" s="463"/>
      <c r="D285" s="463"/>
      <c r="E285" s="463"/>
      <c r="F285" s="463"/>
      <c r="G285" s="463"/>
      <c r="H285" s="463"/>
      <c r="I285" s="463"/>
      <c r="J285" s="463"/>
      <c r="K285" s="463"/>
      <c r="L285" s="463"/>
    </row>
    <row r="286" spans="1:12">
      <c r="A286" s="463"/>
      <c r="B286" s="463"/>
      <c r="C286" s="463"/>
      <c r="D286" s="463"/>
      <c r="E286" s="463"/>
      <c r="F286" s="463"/>
      <c r="G286" s="463"/>
      <c r="H286" s="463"/>
      <c r="I286" s="463"/>
      <c r="J286" s="463"/>
      <c r="K286" s="463"/>
      <c r="L286" s="463"/>
    </row>
    <row r="287" spans="1:12">
      <c r="A287" s="463"/>
      <c r="B287" s="463"/>
      <c r="C287" s="463"/>
      <c r="D287" s="463"/>
      <c r="E287" s="463"/>
      <c r="F287" s="463"/>
      <c r="G287" s="463"/>
      <c r="H287" s="463"/>
      <c r="I287" s="463"/>
      <c r="J287" s="463"/>
      <c r="K287" s="463"/>
      <c r="L287" s="463"/>
    </row>
    <row r="288" spans="1:12">
      <c r="A288" s="463"/>
      <c r="B288" s="463"/>
      <c r="C288" s="463"/>
      <c r="D288" s="463"/>
      <c r="E288" s="463"/>
      <c r="F288" s="463"/>
      <c r="G288" s="463"/>
      <c r="H288" s="463"/>
      <c r="I288" s="463"/>
      <c r="J288" s="463"/>
      <c r="K288" s="463"/>
      <c r="L288" s="463"/>
    </row>
    <row r="289" spans="1:12">
      <c r="A289" s="463"/>
      <c r="B289" s="463"/>
      <c r="C289" s="463"/>
      <c r="D289" s="463"/>
      <c r="E289" s="463"/>
      <c r="F289" s="463"/>
      <c r="G289" s="463"/>
      <c r="H289" s="463"/>
      <c r="I289" s="463"/>
      <c r="J289" s="463"/>
      <c r="K289" s="463"/>
      <c r="L289" s="463"/>
    </row>
    <row r="290" spans="1:12">
      <c r="A290" s="463"/>
      <c r="B290" s="463"/>
      <c r="C290" s="463"/>
      <c r="D290" s="463"/>
      <c r="E290" s="463"/>
      <c r="F290" s="463"/>
      <c r="G290" s="463"/>
      <c r="H290" s="463"/>
      <c r="I290" s="463"/>
      <c r="J290" s="463"/>
      <c r="K290" s="463"/>
      <c r="L290" s="463"/>
    </row>
    <row r="291" spans="1:12">
      <c r="A291" s="463"/>
      <c r="B291" s="463"/>
      <c r="C291" s="463"/>
      <c r="D291" s="463"/>
      <c r="E291" s="463"/>
      <c r="F291" s="463"/>
      <c r="G291" s="463"/>
      <c r="H291" s="463"/>
      <c r="I291" s="463"/>
      <c r="J291" s="463"/>
      <c r="K291" s="463"/>
      <c r="L291" s="463"/>
    </row>
    <row r="292" spans="1:12">
      <c r="A292" s="463"/>
      <c r="B292" s="463"/>
      <c r="C292" s="463"/>
      <c r="D292" s="463"/>
      <c r="E292" s="463"/>
      <c r="F292" s="463"/>
      <c r="G292" s="463"/>
      <c r="H292" s="463"/>
      <c r="I292" s="463"/>
      <c r="J292" s="463"/>
      <c r="K292" s="463"/>
      <c r="L292" s="463"/>
    </row>
    <row r="293" spans="1:12">
      <c r="A293" s="463"/>
      <c r="B293" s="463"/>
      <c r="C293" s="463"/>
      <c r="D293" s="463"/>
      <c r="E293" s="463"/>
      <c r="F293" s="463"/>
      <c r="G293" s="463"/>
      <c r="H293" s="463"/>
      <c r="I293" s="463"/>
      <c r="J293" s="463"/>
      <c r="K293" s="463"/>
      <c r="L293" s="463"/>
    </row>
    <row r="294" spans="1:12">
      <c r="A294" s="463"/>
      <c r="B294" s="463"/>
      <c r="C294" s="463"/>
      <c r="D294" s="463"/>
      <c r="E294" s="463"/>
      <c r="F294" s="463"/>
      <c r="G294" s="463"/>
      <c r="H294" s="463"/>
      <c r="I294" s="463"/>
      <c r="J294" s="463"/>
      <c r="K294" s="463"/>
      <c r="L294" s="463"/>
    </row>
    <row r="295" spans="1:12">
      <c r="A295" s="463"/>
      <c r="B295" s="463"/>
      <c r="C295" s="463"/>
      <c r="D295" s="463"/>
      <c r="E295" s="463"/>
      <c r="F295" s="463"/>
      <c r="G295" s="463"/>
      <c r="H295" s="463"/>
      <c r="I295" s="463"/>
      <c r="J295" s="463"/>
      <c r="K295" s="463"/>
      <c r="L295" s="463"/>
    </row>
    <row r="296" spans="1:12">
      <c r="A296" s="463"/>
      <c r="B296" s="463"/>
      <c r="C296" s="463"/>
      <c r="D296" s="463"/>
      <c r="E296" s="463"/>
      <c r="F296" s="463"/>
      <c r="G296" s="463"/>
      <c r="H296" s="463"/>
      <c r="I296" s="463"/>
      <c r="J296" s="463"/>
      <c r="K296" s="463"/>
      <c r="L296" s="463"/>
    </row>
    <row r="297" spans="1:12">
      <c r="A297" s="463"/>
      <c r="B297" s="463"/>
      <c r="C297" s="463"/>
      <c r="D297" s="463"/>
      <c r="E297" s="463"/>
      <c r="F297" s="463"/>
      <c r="G297" s="463"/>
      <c r="H297" s="463"/>
      <c r="I297" s="463"/>
      <c r="J297" s="463"/>
      <c r="K297" s="463"/>
      <c r="L297" s="463"/>
    </row>
    <row r="298" spans="1:12">
      <c r="A298" s="463"/>
      <c r="B298" s="463"/>
      <c r="C298" s="463"/>
      <c r="D298" s="463"/>
      <c r="E298" s="463"/>
      <c r="F298" s="463"/>
      <c r="G298" s="463"/>
      <c r="H298" s="463"/>
      <c r="I298" s="463"/>
      <c r="J298" s="463"/>
      <c r="K298" s="463"/>
      <c r="L298" s="463"/>
    </row>
    <row r="299" spans="1:12">
      <c r="A299" s="463"/>
      <c r="B299" s="463"/>
      <c r="C299" s="463"/>
      <c r="D299" s="463"/>
      <c r="E299" s="463"/>
      <c r="F299" s="463"/>
      <c r="G299" s="463"/>
      <c r="H299" s="463"/>
      <c r="I299" s="463"/>
      <c r="J299" s="463"/>
      <c r="K299" s="463"/>
      <c r="L299" s="463"/>
    </row>
    <row r="300" spans="1:12">
      <c r="A300" s="463"/>
      <c r="B300" s="463"/>
      <c r="C300" s="463"/>
      <c r="D300" s="463"/>
      <c r="E300" s="463"/>
      <c r="F300" s="463"/>
      <c r="G300" s="463"/>
      <c r="H300" s="463"/>
      <c r="I300" s="463"/>
      <c r="J300" s="463"/>
      <c r="K300" s="463"/>
      <c r="L300" s="463"/>
    </row>
    <row r="301" spans="1:12">
      <c r="A301" s="463"/>
      <c r="B301" s="463"/>
      <c r="C301" s="463"/>
      <c r="D301" s="463"/>
      <c r="E301" s="463"/>
      <c r="F301" s="463"/>
      <c r="G301" s="463"/>
      <c r="H301" s="463"/>
      <c r="I301" s="463"/>
      <c r="J301" s="463"/>
      <c r="K301" s="463"/>
      <c r="L301" s="463"/>
    </row>
    <row r="302" spans="1:12">
      <c r="A302" s="463"/>
      <c r="B302" s="463"/>
      <c r="C302" s="463"/>
      <c r="D302" s="463"/>
      <c r="E302" s="463"/>
      <c r="F302" s="463"/>
      <c r="G302" s="463"/>
      <c r="H302" s="463"/>
      <c r="I302" s="463"/>
      <c r="J302" s="463"/>
      <c r="K302" s="463"/>
      <c r="L302" s="463"/>
    </row>
    <row r="303" spans="1:12">
      <c r="A303" s="463"/>
      <c r="B303" s="463"/>
      <c r="C303" s="463"/>
      <c r="D303" s="463"/>
      <c r="E303" s="463"/>
      <c r="F303" s="463"/>
      <c r="G303" s="463"/>
      <c r="H303" s="463"/>
      <c r="I303" s="463"/>
      <c r="J303" s="463"/>
      <c r="K303" s="463"/>
      <c r="L303" s="463"/>
    </row>
    <row r="304" spans="1:12">
      <c r="A304" s="463"/>
      <c r="B304" s="463"/>
      <c r="C304" s="463"/>
      <c r="D304" s="463"/>
      <c r="E304" s="463"/>
      <c r="F304" s="463"/>
      <c r="G304" s="463"/>
      <c r="H304" s="463"/>
      <c r="I304" s="463"/>
      <c r="J304" s="463"/>
      <c r="K304" s="463"/>
      <c r="L304" s="463"/>
    </row>
    <row r="305" spans="1:12">
      <c r="A305" s="463"/>
      <c r="B305" s="463"/>
      <c r="C305" s="463"/>
      <c r="D305" s="463"/>
      <c r="E305" s="463"/>
      <c r="F305" s="463"/>
      <c r="G305" s="463"/>
      <c r="H305" s="463"/>
      <c r="I305" s="463"/>
      <c r="J305" s="463"/>
      <c r="K305" s="463"/>
      <c r="L305" s="463"/>
    </row>
    <row r="306" spans="1:12">
      <c r="A306" s="463"/>
      <c r="B306" s="463"/>
      <c r="C306" s="463"/>
      <c r="D306" s="463"/>
      <c r="E306" s="463"/>
      <c r="F306" s="463"/>
      <c r="G306" s="463"/>
      <c r="H306" s="463"/>
      <c r="I306" s="463"/>
      <c r="J306" s="463"/>
      <c r="K306" s="463"/>
      <c r="L306" s="463"/>
    </row>
    <row r="307" spans="1:12">
      <c r="A307" s="463"/>
      <c r="B307" s="463"/>
      <c r="C307" s="463"/>
      <c r="D307" s="463"/>
      <c r="E307" s="463"/>
      <c r="F307" s="463"/>
      <c r="G307" s="463"/>
      <c r="H307" s="463"/>
      <c r="I307" s="463"/>
      <c r="J307" s="463"/>
      <c r="K307" s="463"/>
      <c r="L307" s="463"/>
    </row>
    <row r="308" spans="1:12">
      <c r="A308" s="463"/>
      <c r="B308" s="463"/>
      <c r="C308" s="463"/>
      <c r="D308" s="463"/>
      <c r="E308" s="463"/>
      <c r="F308" s="463"/>
      <c r="G308" s="463"/>
      <c r="H308" s="463"/>
      <c r="I308" s="463"/>
      <c r="J308" s="463"/>
      <c r="K308" s="463"/>
      <c r="L308" s="463"/>
    </row>
    <row r="309" spans="1:12">
      <c r="A309" s="463"/>
      <c r="B309" s="463"/>
      <c r="C309" s="463"/>
      <c r="D309" s="463"/>
      <c r="E309" s="463"/>
      <c r="F309" s="463"/>
      <c r="G309" s="463"/>
      <c r="H309" s="463"/>
      <c r="I309" s="463"/>
      <c r="J309" s="463"/>
      <c r="K309" s="463"/>
      <c r="L309" s="463"/>
    </row>
    <row r="310" spans="1:12">
      <c r="A310" s="463"/>
      <c r="B310" s="463"/>
      <c r="C310" s="463"/>
      <c r="D310" s="463"/>
      <c r="E310" s="463"/>
      <c r="F310" s="463"/>
      <c r="G310" s="463"/>
      <c r="H310" s="463"/>
      <c r="I310" s="463"/>
      <c r="J310" s="463"/>
      <c r="K310" s="463"/>
      <c r="L310" s="463"/>
    </row>
    <row r="311" spans="1:12">
      <c r="A311" s="463"/>
      <c r="B311" s="463"/>
      <c r="C311" s="463"/>
      <c r="D311" s="463"/>
      <c r="E311" s="463"/>
      <c r="F311" s="463"/>
      <c r="G311" s="463"/>
      <c r="H311" s="463"/>
      <c r="I311" s="463"/>
      <c r="J311" s="463"/>
      <c r="K311" s="463"/>
      <c r="L311" s="463"/>
    </row>
    <row r="312" spans="1:12">
      <c r="A312" s="463"/>
      <c r="B312" s="463"/>
      <c r="C312" s="463"/>
      <c r="D312" s="463"/>
      <c r="E312" s="463"/>
      <c r="F312" s="463"/>
      <c r="G312" s="463"/>
      <c r="H312" s="463"/>
      <c r="I312" s="463"/>
      <c r="J312" s="463"/>
      <c r="K312" s="463"/>
      <c r="L312" s="463"/>
    </row>
    <row r="313" spans="1:12">
      <c r="A313" s="463"/>
      <c r="B313" s="463"/>
      <c r="C313" s="463"/>
      <c r="D313" s="463"/>
      <c r="E313" s="463"/>
      <c r="F313" s="463"/>
      <c r="G313" s="463"/>
      <c r="H313" s="463"/>
      <c r="I313" s="463"/>
      <c r="J313" s="463"/>
      <c r="K313" s="463"/>
      <c r="L313" s="463"/>
    </row>
    <row r="314" spans="1:12">
      <c r="A314" s="463"/>
      <c r="B314" s="463"/>
      <c r="C314" s="463"/>
      <c r="D314" s="463"/>
      <c r="E314" s="463"/>
      <c r="F314" s="463"/>
      <c r="G314" s="463"/>
      <c r="H314" s="463"/>
      <c r="I314" s="463"/>
      <c r="J314" s="463"/>
      <c r="K314" s="463"/>
      <c r="L314" s="463"/>
    </row>
    <row r="315" spans="1:12">
      <c r="A315" s="463"/>
      <c r="B315" s="463"/>
      <c r="C315" s="463"/>
      <c r="D315" s="463"/>
      <c r="E315" s="463"/>
      <c r="F315" s="463"/>
      <c r="G315" s="463"/>
      <c r="H315" s="463"/>
      <c r="I315" s="463"/>
      <c r="J315" s="463"/>
      <c r="K315" s="463"/>
      <c r="L315" s="463"/>
    </row>
    <row r="316" spans="1:12">
      <c r="A316" s="463"/>
      <c r="B316" s="463"/>
      <c r="C316" s="463"/>
      <c r="D316" s="463"/>
      <c r="E316" s="463"/>
      <c r="F316" s="463"/>
      <c r="G316" s="463"/>
      <c r="H316" s="463"/>
      <c r="I316" s="463"/>
      <c r="J316" s="463"/>
      <c r="K316" s="463"/>
      <c r="L316" s="463"/>
    </row>
    <row r="317" spans="1:12">
      <c r="A317" s="463"/>
      <c r="B317" s="463"/>
      <c r="C317" s="463"/>
      <c r="D317" s="463"/>
      <c r="E317" s="463"/>
      <c r="F317" s="463"/>
      <c r="G317" s="463"/>
      <c r="H317" s="463"/>
      <c r="I317" s="463"/>
      <c r="J317" s="463"/>
      <c r="K317" s="463"/>
      <c r="L317" s="463"/>
    </row>
    <row r="318" spans="1:12">
      <c r="A318" s="463"/>
      <c r="B318" s="463"/>
      <c r="C318" s="463"/>
      <c r="D318" s="463"/>
      <c r="E318" s="463"/>
      <c r="F318" s="463"/>
      <c r="G318" s="463"/>
      <c r="H318" s="463"/>
      <c r="I318" s="463"/>
      <c r="J318" s="463"/>
      <c r="K318" s="463"/>
      <c r="L318" s="463"/>
    </row>
    <row r="319" spans="1:12">
      <c r="A319" s="463"/>
      <c r="B319" s="463"/>
      <c r="C319" s="463"/>
      <c r="D319" s="463"/>
      <c r="E319" s="463"/>
      <c r="F319" s="463"/>
      <c r="G319" s="463"/>
      <c r="H319" s="463"/>
      <c r="I319" s="463"/>
      <c r="J319" s="463"/>
      <c r="K319" s="463"/>
      <c r="L319" s="463"/>
    </row>
    <row r="320" spans="1:12">
      <c r="A320" s="463"/>
      <c r="B320" s="463"/>
      <c r="C320" s="463"/>
      <c r="D320" s="463"/>
      <c r="E320" s="463"/>
      <c r="F320" s="463"/>
      <c r="G320" s="463"/>
      <c r="H320" s="463"/>
      <c r="I320" s="463"/>
      <c r="J320" s="463"/>
      <c r="K320" s="463"/>
      <c r="L320" s="463"/>
    </row>
    <row r="321" spans="1:12">
      <c r="A321" s="463"/>
      <c r="B321" s="463"/>
      <c r="C321" s="463"/>
      <c r="D321" s="463"/>
      <c r="E321" s="463"/>
      <c r="F321" s="463"/>
      <c r="G321" s="463"/>
      <c r="H321" s="463"/>
      <c r="I321" s="463"/>
      <c r="J321" s="463"/>
      <c r="K321" s="463"/>
      <c r="L321" s="463"/>
    </row>
    <row r="322" spans="1:12">
      <c r="A322" s="463"/>
      <c r="B322" s="463"/>
      <c r="C322" s="463"/>
      <c r="D322" s="463"/>
      <c r="E322" s="463"/>
      <c r="F322" s="463"/>
      <c r="G322" s="463"/>
      <c r="H322" s="463"/>
      <c r="I322" s="463"/>
      <c r="J322" s="463"/>
      <c r="K322" s="463"/>
      <c r="L322" s="463"/>
    </row>
    <row r="323" spans="1:12">
      <c r="A323" s="463"/>
      <c r="B323" s="463"/>
      <c r="C323" s="463"/>
      <c r="D323" s="463"/>
      <c r="E323" s="463"/>
      <c r="F323" s="463"/>
      <c r="G323" s="463"/>
      <c r="H323" s="463"/>
      <c r="I323" s="463"/>
      <c r="J323" s="463"/>
      <c r="K323" s="463"/>
      <c r="L323" s="463"/>
    </row>
    <row r="324" spans="1:12">
      <c r="A324" s="463"/>
      <c r="B324" s="463"/>
      <c r="C324" s="463"/>
      <c r="D324" s="463"/>
      <c r="E324" s="463"/>
      <c r="F324" s="463"/>
      <c r="G324" s="463"/>
      <c r="H324" s="463"/>
      <c r="I324" s="463"/>
      <c r="J324" s="463"/>
      <c r="K324" s="463"/>
      <c r="L324" s="463"/>
    </row>
    <row r="325" spans="1:12">
      <c r="A325" s="463"/>
      <c r="B325" s="463"/>
      <c r="C325" s="463"/>
      <c r="D325" s="463"/>
      <c r="E325" s="463"/>
      <c r="F325" s="463"/>
      <c r="G325" s="463"/>
      <c r="H325" s="463"/>
      <c r="I325" s="463"/>
      <c r="J325" s="463"/>
      <c r="K325" s="463"/>
      <c r="L325" s="463"/>
    </row>
    <row r="326" spans="1:12">
      <c r="A326" s="463"/>
      <c r="B326" s="463"/>
      <c r="C326" s="463"/>
      <c r="D326" s="463"/>
      <c r="E326" s="463"/>
      <c r="F326" s="463"/>
      <c r="G326" s="463"/>
      <c r="H326" s="463"/>
      <c r="I326" s="463"/>
      <c r="J326" s="463"/>
      <c r="K326" s="463"/>
      <c r="L326" s="463"/>
    </row>
    <row r="327" spans="1:12">
      <c r="A327" s="463"/>
      <c r="B327" s="463"/>
      <c r="C327" s="463"/>
      <c r="D327" s="463"/>
      <c r="E327" s="463"/>
      <c r="F327" s="463"/>
      <c r="G327" s="463"/>
      <c r="H327" s="463"/>
      <c r="I327" s="463"/>
      <c r="J327" s="463"/>
      <c r="K327" s="463"/>
      <c r="L327" s="463"/>
    </row>
    <row r="328" spans="1:12">
      <c r="A328" s="463"/>
      <c r="B328" s="463"/>
      <c r="C328" s="463"/>
      <c r="D328" s="463"/>
      <c r="E328" s="463"/>
      <c r="F328" s="463"/>
      <c r="G328" s="463"/>
      <c r="H328" s="463"/>
      <c r="I328" s="463"/>
      <c r="J328" s="463"/>
      <c r="K328" s="463"/>
      <c r="L328" s="463"/>
    </row>
    <row r="329" spans="1:12">
      <c r="A329" s="463"/>
      <c r="B329" s="463"/>
      <c r="C329" s="463"/>
      <c r="D329" s="463"/>
      <c r="E329" s="463"/>
      <c r="F329" s="463"/>
      <c r="G329" s="463"/>
      <c r="H329" s="463"/>
      <c r="I329" s="463"/>
      <c r="J329" s="463"/>
      <c r="K329" s="463"/>
      <c r="L329" s="463"/>
    </row>
    <row r="330" spans="1:12">
      <c r="A330" s="463"/>
      <c r="B330" s="463"/>
      <c r="C330" s="463"/>
      <c r="D330" s="463"/>
      <c r="E330" s="463"/>
      <c r="F330" s="463"/>
      <c r="G330" s="463"/>
      <c r="H330" s="463"/>
      <c r="I330" s="463"/>
      <c r="J330" s="463"/>
      <c r="K330" s="463"/>
      <c r="L330" s="463"/>
    </row>
    <row r="331" spans="1:12">
      <c r="A331" s="463"/>
      <c r="B331" s="463"/>
      <c r="C331" s="463"/>
      <c r="D331" s="463"/>
      <c r="E331" s="463"/>
      <c r="F331" s="463"/>
      <c r="G331" s="463"/>
      <c r="H331" s="463"/>
      <c r="I331" s="463"/>
      <c r="J331" s="463"/>
      <c r="K331" s="463"/>
      <c r="L331" s="463"/>
    </row>
    <row r="332" spans="1:12">
      <c r="A332" s="463"/>
      <c r="B332" s="463"/>
      <c r="C332" s="463"/>
      <c r="D332" s="463"/>
      <c r="E332" s="463"/>
      <c r="F332" s="463"/>
      <c r="G332" s="463"/>
      <c r="H332" s="463"/>
      <c r="I332" s="463"/>
      <c r="J332" s="463"/>
      <c r="K332" s="463"/>
      <c r="L332" s="463"/>
    </row>
    <row r="333" spans="1:12">
      <c r="A333" s="463"/>
      <c r="B333" s="463"/>
      <c r="C333" s="463"/>
      <c r="D333" s="463"/>
      <c r="E333" s="463"/>
      <c r="F333" s="463"/>
      <c r="G333" s="463"/>
      <c r="H333" s="463"/>
      <c r="I333" s="463"/>
      <c r="J333" s="463"/>
      <c r="K333" s="463"/>
      <c r="L333" s="463"/>
    </row>
    <row r="334" spans="1:12">
      <c r="A334" s="463"/>
      <c r="B334" s="463"/>
      <c r="C334" s="463"/>
      <c r="D334" s="463"/>
      <c r="E334" s="463"/>
      <c r="F334" s="463"/>
      <c r="G334" s="463"/>
      <c r="H334" s="463"/>
      <c r="I334" s="463"/>
      <c r="J334" s="463"/>
      <c r="K334" s="463"/>
      <c r="L334" s="463"/>
    </row>
    <row r="335" spans="1:12">
      <c r="A335" s="463"/>
      <c r="B335" s="463"/>
      <c r="C335" s="463"/>
      <c r="D335" s="463"/>
      <c r="E335" s="463"/>
      <c r="F335" s="463"/>
      <c r="G335" s="463"/>
      <c r="H335" s="463"/>
      <c r="I335" s="463"/>
      <c r="J335" s="463"/>
      <c r="K335" s="463"/>
      <c r="L335" s="463"/>
    </row>
    <row r="336" spans="1:12">
      <c r="A336" s="463"/>
      <c r="B336" s="463"/>
      <c r="C336" s="463"/>
      <c r="D336" s="463"/>
      <c r="E336" s="463"/>
      <c r="F336" s="463"/>
      <c r="G336" s="463"/>
      <c r="H336" s="463"/>
      <c r="I336" s="463"/>
      <c r="J336" s="463"/>
      <c r="K336" s="463"/>
      <c r="L336" s="463"/>
    </row>
    <row r="337" spans="1:12">
      <c r="A337" s="463"/>
      <c r="B337" s="463"/>
      <c r="C337" s="463"/>
      <c r="D337" s="463"/>
      <c r="E337" s="463"/>
      <c r="F337" s="463"/>
      <c r="G337" s="463"/>
      <c r="H337" s="463"/>
      <c r="I337" s="463"/>
      <c r="J337" s="463"/>
      <c r="K337" s="463"/>
      <c r="L337" s="463"/>
    </row>
    <row r="338" spans="1:12">
      <c r="A338" s="463"/>
      <c r="B338" s="463"/>
      <c r="C338" s="463"/>
      <c r="D338" s="463"/>
      <c r="E338" s="463"/>
      <c r="F338" s="463"/>
      <c r="G338" s="463"/>
      <c r="H338" s="463"/>
      <c r="I338" s="463"/>
      <c r="J338" s="463"/>
      <c r="K338" s="463"/>
      <c r="L338" s="463"/>
    </row>
    <row r="339" spans="1:12">
      <c r="A339" s="463"/>
      <c r="B339" s="463"/>
      <c r="C339" s="463"/>
      <c r="D339" s="463"/>
      <c r="E339" s="463"/>
      <c r="F339" s="463"/>
      <c r="G339" s="463"/>
      <c r="H339" s="463"/>
      <c r="I339" s="463"/>
      <c r="J339" s="463"/>
      <c r="K339" s="463"/>
      <c r="L339" s="463"/>
    </row>
    <row r="340" spans="1:12">
      <c r="A340" s="463"/>
      <c r="B340" s="463"/>
      <c r="C340" s="463"/>
      <c r="D340" s="463"/>
      <c r="E340" s="463"/>
      <c r="F340" s="463"/>
      <c r="G340" s="463"/>
      <c r="H340" s="463"/>
      <c r="I340" s="463"/>
      <c r="J340" s="463"/>
      <c r="K340" s="463"/>
      <c r="L340" s="463"/>
    </row>
    <row r="341" spans="1:12">
      <c r="A341" s="463"/>
      <c r="B341" s="463"/>
      <c r="C341" s="463"/>
      <c r="D341" s="463"/>
      <c r="E341" s="463"/>
      <c r="F341" s="463"/>
      <c r="G341" s="463"/>
      <c r="H341" s="463"/>
      <c r="I341" s="463"/>
      <c r="J341" s="463"/>
      <c r="K341" s="463"/>
      <c r="L341" s="463"/>
    </row>
    <row r="342" spans="1:12">
      <c r="A342" s="463"/>
      <c r="B342" s="463"/>
      <c r="C342" s="463"/>
      <c r="D342" s="463"/>
      <c r="E342" s="463"/>
      <c r="F342" s="463"/>
      <c r="G342" s="463"/>
      <c r="H342" s="463"/>
      <c r="I342" s="463"/>
      <c r="J342" s="463"/>
      <c r="K342" s="463"/>
      <c r="L342" s="463"/>
    </row>
    <row r="343" spans="1:12">
      <c r="A343" s="463"/>
      <c r="B343" s="463"/>
      <c r="C343" s="463"/>
      <c r="D343" s="463"/>
      <c r="E343" s="463"/>
      <c r="F343" s="463"/>
      <c r="G343" s="463"/>
      <c r="H343" s="463"/>
      <c r="I343" s="463"/>
      <c r="J343" s="463"/>
      <c r="K343" s="463"/>
      <c r="L343" s="463"/>
    </row>
    <row r="344" spans="1:12">
      <c r="A344" s="463"/>
      <c r="B344" s="463"/>
      <c r="C344" s="463"/>
      <c r="D344" s="463"/>
      <c r="E344" s="463"/>
      <c r="F344" s="463"/>
      <c r="G344" s="463"/>
      <c r="H344" s="463"/>
      <c r="I344" s="463"/>
      <c r="J344" s="463"/>
      <c r="K344" s="463"/>
      <c r="L344" s="463"/>
    </row>
    <row r="345" spans="1:12">
      <c r="A345" s="463"/>
      <c r="B345" s="463"/>
      <c r="C345" s="463"/>
      <c r="D345" s="463"/>
      <c r="E345" s="463"/>
      <c r="F345" s="463"/>
      <c r="G345" s="463"/>
      <c r="H345" s="463"/>
      <c r="I345" s="463"/>
      <c r="J345" s="463"/>
      <c r="K345" s="463"/>
      <c r="L345" s="463"/>
    </row>
    <row r="346" spans="1:12">
      <c r="A346" s="463"/>
      <c r="B346" s="463"/>
      <c r="C346" s="463"/>
      <c r="D346" s="463"/>
      <c r="E346" s="463"/>
      <c r="F346" s="463"/>
      <c r="G346" s="463"/>
      <c r="H346" s="463"/>
      <c r="I346" s="463"/>
      <c r="J346" s="463"/>
      <c r="K346" s="463"/>
      <c r="L346" s="463"/>
    </row>
    <row r="347" spans="1:12">
      <c r="A347" s="463"/>
      <c r="B347" s="463"/>
      <c r="C347" s="463"/>
      <c r="D347" s="463"/>
      <c r="E347" s="463"/>
      <c r="F347" s="463"/>
      <c r="G347" s="463"/>
      <c r="H347" s="463"/>
      <c r="I347" s="463"/>
      <c r="J347" s="463"/>
      <c r="K347" s="463"/>
      <c r="L347" s="463"/>
    </row>
    <row r="348" spans="1:12">
      <c r="A348" s="463"/>
      <c r="B348" s="463"/>
      <c r="C348" s="463"/>
      <c r="D348" s="463"/>
      <c r="E348" s="463"/>
      <c r="F348" s="463"/>
      <c r="G348" s="463"/>
      <c r="H348" s="463"/>
      <c r="I348" s="463"/>
      <c r="J348" s="463"/>
      <c r="K348" s="463"/>
      <c r="L348" s="463"/>
    </row>
    <row r="349" spans="1:12">
      <c r="A349" s="463"/>
      <c r="B349" s="463"/>
      <c r="C349" s="463"/>
      <c r="D349" s="463"/>
      <c r="E349" s="463"/>
      <c r="F349" s="463"/>
      <c r="G349" s="463"/>
      <c r="H349" s="463"/>
      <c r="I349" s="463"/>
      <c r="J349" s="463"/>
      <c r="K349" s="463"/>
      <c r="L349" s="463"/>
    </row>
    <row r="350" spans="1:12">
      <c r="A350" s="463"/>
      <c r="B350" s="463"/>
      <c r="C350" s="463"/>
      <c r="D350" s="463"/>
      <c r="E350" s="463"/>
      <c r="F350" s="463"/>
      <c r="G350" s="463"/>
      <c r="H350" s="463"/>
      <c r="I350" s="463"/>
      <c r="J350" s="463"/>
      <c r="K350" s="463"/>
      <c r="L350" s="463"/>
    </row>
    <row r="351" spans="1:12">
      <c r="A351" s="463"/>
      <c r="B351" s="463"/>
      <c r="C351" s="463"/>
      <c r="D351" s="463"/>
      <c r="E351" s="463"/>
      <c r="F351" s="463"/>
      <c r="G351" s="463"/>
      <c r="H351" s="463"/>
      <c r="I351" s="463"/>
      <c r="J351" s="463"/>
      <c r="K351" s="463"/>
      <c r="L351" s="463"/>
    </row>
    <row r="352" spans="1:12">
      <c r="A352" s="463"/>
      <c r="B352" s="463"/>
      <c r="C352" s="463"/>
      <c r="D352" s="463"/>
      <c r="E352" s="463"/>
      <c r="F352" s="463"/>
      <c r="G352" s="463"/>
      <c r="H352" s="463"/>
      <c r="I352" s="463"/>
      <c r="J352" s="463"/>
      <c r="K352" s="463"/>
      <c r="L352" s="463"/>
    </row>
    <row r="353" spans="1:12">
      <c r="A353" s="463"/>
      <c r="B353" s="463"/>
      <c r="C353" s="463"/>
      <c r="D353" s="463"/>
      <c r="E353" s="463"/>
      <c r="F353" s="463"/>
      <c r="G353" s="463"/>
      <c r="H353" s="463"/>
      <c r="I353" s="463"/>
      <c r="J353" s="463"/>
      <c r="K353" s="463"/>
      <c r="L353" s="463"/>
    </row>
    <row r="354" spans="1:12">
      <c r="A354" s="463"/>
      <c r="B354" s="463"/>
      <c r="C354" s="463"/>
      <c r="D354" s="463"/>
      <c r="E354" s="463"/>
      <c r="F354" s="463"/>
      <c r="G354" s="463"/>
      <c r="H354" s="463"/>
      <c r="I354" s="463"/>
      <c r="J354" s="463"/>
      <c r="K354" s="463"/>
      <c r="L354" s="463"/>
    </row>
  </sheetData>
  <sheetProtection sheet="1"/>
  <mergeCells count="55">
    <mergeCell ref="C148:D148"/>
    <mergeCell ref="J148:K148"/>
    <mergeCell ref="C136:D136"/>
    <mergeCell ref="C137:D137"/>
    <mergeCell ref="B144:K144"/>
    <mergeCell ref="C147:D147"/>
    <mergeCell ref="J147:K147"/>
    <mergeCell ref="C134:D134"/>
    <mergeCell ref="H134:I134"/>
    <mergeCell ref="B105:K105"/>
    <mergeCell ref="B106:K106"/>
    <mergeCell ref="B108:K108"/>
    <mergeCell ref="B110:K110"/>
    <mergeCell ref="C114:D114"/>
    <mergeCell ref="C117:D117"/>
    <mergeCell ref="C120:D120"/>
    <mergeCell ref="C123:D123"/>
    <mergeCell ref="C133:D133"/>
    <mergeCell ref="H133:I133"/>
    <mergeCell ref="C100:D100"/>
    <mergeCell ref="C103:D103"/>
    <mergeCell ref="B125:K125"/>
    <mergeCell ref="B126:K126"/>
    <mergeCell ref="B128:K128"/>
    <mergeCell ref="B130:K130"/>
    <mergeCell ref="C80:D80"/>
    <mergeCell ref="C83:D83"/>
    <mergeCell ref="B53:K53"/>
    <mergeCell ref="B55:K55"/>
    <mergeCell ref="B57:K57"/>
    <mergeCell ref="B58:K58"/>
    <mergeCell ref="C94:D94"/>
    <mergeCell ref="C97:D97"/>
    <mergeCell ref="I51:K51"/>
    <mergeCell ref="B52:K52"/>
    <mergeCell ref="B85:K85"/>
    <mergeCell ref="B86:K86"/>
    <mergeCell ref="B88:K88"/>
    <mergeCell ref="B90:K90"/>
    <mergeCell ref="C74:D74"/>
    <mergeCell ref="C77:D77"/>
    <mergeCell ref="B12:K12"/>
    <mergeCell ref="F23:G23"/>
    <mergeCell ref="C25:D25"/>
    <mergeCell ref="B30:K30"/>
    <mergeCell ref="B6:K6"/>
    <mergeCell ref="B7:K7"/>
    <mergeCell ref="B8:K8"/>
    <mergeCell ref="B10:K10"/>
    <mergeCell ref="B48:C48"/>
    <mergeCell ref="G50:H50"/>
    <mergeCell ref="B31:K31"/>
    <mergeCell ref="B33:K33"/>
    <mergeCell ref="B35:K35"/>
    <mergeCell ref="C41:D41"/>
  </mergeCells>
  <phoneticPr fontId="0" type="noConversion"/>
  <pageMargins left="0.7" right="0.7" top="0.75" bottom="0.75" header="0.3" footer="0.3"/>
</worksheet>
</file>

<file path=xl/worksheets/sheet26.xml><?xml version="1.0" encoding="utf-8"?>
<worksheet xmlns="http://schemas.openxmlformats.org/spreadsheetml/2006/main" xmlns:r="http://schemas.openxmlformats.org/officeDocument/2006/relationships">
  <dimension ref="A1:A40"/>
  <sheetViews>
    <sheetView workbookViewId="0"/>
  </sheetViews>
  <sheetFormatPr defaultRowHeight="15"/>
  <cols>
    <col min="1" max="1" width="71.21875" customWidth="1"/>
  </cols>
  <sheetData>
    <row r="1" spans="1:1" ht="16.5">
      <c r="A1" s="464" t="s">
        <v>171</v>
      </c>
    </row>
    <row r="3" spans="1:1" ht="31.5">
      <c r="A3" s="465" t="s">
        <v>172</v>
      </c>
    </row>
    <row r="4" spans="1:1" ht="15.75">
      <c r="A4" s="466" t="s">
        <v>173</v>
      </c>
    </row>
    <row r="7" spans="1:1" ht="31.5">
      <c r="A7" s="465" t="s">
        <v>174</v>
      </c>
    </row>
    <row r="8" spans="1:1" ht="15.75">
      <c r="A8" s="466" t="s">
        <v>175</v>
      </c>
    </row>
    <row r="11" spans="1:1" ht="15.75">
      <c r="A11" s="467" t="s">
        <v>176</v>
      </c>
    </row>
    <row r="12" spans="1:1" ht="15.75">
      <c r="A12" s="466" t="s">
        <v>177</v>
      </c>
    </row>
    <row r="15" spans="1:1" ht="15.75">
      <c r="A15" s="467" t="s">
        <v>178</v>
      </c>
    </row>
    <row r="16" spans="1:1" ht="15.75">
      <c r="A16" s="466" t="s">
        <v>179</v>
      </c>
    </row>
    <row r="19" spans="1:1" ht="15.75">
      <c r="A19" s="467" t="s">
        <v>180</v>
      </c>
    </row>
    <row r="20" spans="1:1" ht="15.75">
      <c r="A20" s="466" t="s">
        <v>181</v>
      </c>
    </row>
    <row r="23" spans="1:1" ht="15.75">
      <c r="A23" s="467" t="s">
        <v>182</v>
      </c>
    </row>
    <row r="24" spans="1:1" ht="15.75">
      <c r="A24" s="466" t="s">
        <v>183</v>
      </c>
    </row>
    <row r="27" spans="1:1" ht="15.75">
      <c r="A27" s="467" t="s">
        <v>184</v>
      </c>
    </row>
    <row r="28" spans="1:1" ht="15.75">
      <c r="A28" s="466" t="s">
        <v>185</v>
      </c>
    </row>
    <row r="31" spans="1:1" ht="15.75">
      <c r="A31" s="467" t="s">
        <v>186</v>
      </c>
    </row>
    <row r="32" spans="1:1" ht="15.75">
      <c r="A32" s="466" t="s">
        <v>187</v>
      </c>
    </row>
    <row r="35" spans="1:1" ht="15.75">
      <c r="A35" s="467" t="s">
        <v>188</v>
      </c>
    </row>
    <row r="36" spans="1:1" ht="15.75">
      <c r="A36" s="466" t="s">
        <v>189</v>
      </c>
    </row>
    <row r="39" spans="1:1" ht="15.75">
      <c r="A39" s="467" t="s">
        <v>190</v>
      </c>
    </row>
    <row r="40" spans="1:1" ht="15.75">
      <c r="A40" s="466" t="s">
        <v>191</v>
      </c>
    </row>
  </sheetData>
  <sheetProtection sheet="1"/>
  <phoneticPr fontId="0" type="noConversion"/>
  <hyperlinks>
    <hyperlink ref="A4" r:id="rId1"/>
    <hyperlink ref="A8" r:id="rId2"/>
    <hyperlink ref="A12" r:id="rId3"/>
    <hyperlink ref="A16" r:id="rId4"/>
    <hyperlink ref="A20" r:id="rId5"/>
    <hyperlink ref="A24" r:id="rId6"/>
    <hyperlink ref="A28" r:id="rId7"/>
    <hyperlink ref="A32" r:id="rId8"/>
    <hyperlink ref="A36" r:id="rId9"/>
    <hyperlink ref="A40" r:id="rId10"/>
  </hyperlinks>
  <pageMargins left="0.7" right="0.7" top="0.75" bottom="0.75" header="0.3" footer="0.3"/>
</worksheet>
</file>

<file path=xl/worksheets/sheet27.xml><?xml version="1.0" encoding="utf-8"?>
<worksheet xmlns="http://schemas.openxmlformats.org/spreadsheetml/2006/main" xmlns:r="http://schemas.openxmlformats.org/officeDocument/2006/relationships">
  <dimension ref="A1:A148"/>
  <sheetViews>
    <sheetView workbookViewId="0">
      <selection activeCell="H26" sqref="H26"/>
    </sheetView>
  </sheetViews>
  <sheetFormatPr defaultRowHeight="15.75"/>
  <cols>
    <col min="1" max="1" width="68.6640625" style="95" customWidth="1"/>
    <col min="2" max="2" width="14.5546875" style="95" customWidth="1"/>
    <col min="3" max="3" width="14.21875" style="95" customWidth="1"/>
    <col min="4" max="16384" width="8.88671875" style="95"/>
  </cols>
  <sheetData>
    <row r="1" spans="1:1">
      <c r="A1" s="352" t="s">
        <v>78</v>
      </c>
    </row>
    <row r="2" spans="1:1">
      <c r="A2" s="95" t="s">
        <v>79</v>
      </c>
    </row>
    <row r="4" spans="1:1">
      <c r="A4" s="352" t="s">
        <v>75</v>
      </c>
    </row>
    <row r="5" spans="1:1">
      <c r="A5" s="632" t="s">
        <v>76</v>
      </c>
    </row>
    <row r="7" spans="1:1">
      <c r="A7" s="352" t="s">
        <v>74</v>
      </c>
    </row>
    <row r="8" spans="1:1">
      <c r="A8" s="614" t="s">
        <v>73</v>
      </c>
    </row>
    <row r="10" spans="1:1">
      <c r="A10" s="352" t="s">
        <v>275</v>
      </c>
    </row>
    <row r="11" spans="1:1">
      <c r="A11" s="614" t="s">
        <v>277</v>
      </c>
    </row>
    <row r="12" spans="1:1">
      <c r="A12" s="614" t="s">
        <v>281</v>
      </c>
    </row>
    <row r="13" spans="1:1">
      <c r="A13" s="95" t="s">
        <v>284</v>
      </c>
    </row>
    <row r="14" spans="1:1">
      <c r="A14" s="95" t="s">
        <v>285</v>
      </c>
    </row>
    <row r="15" spans="1:1">
      <c r="A15" s="95" t="s">
        <v>288</v>
      </c>
    </row>
    <row r="16" spans="1:1">
      <c r="A16" s="95" t="s">
        <v>290</v>
      </c>
    </row>
    <row r="17" spans="1:1">
      <c r="A17" s="95" t="s">
        <v>362</v>
      </c>
    </row>
    <row r="18" spans="1:1">
      <c r="A18" s="95" t="s">
        <v>363</v>
      </c>
    </row>
    <row r="19" spans="1:1">
      <c r="A19" s="95" t="s">
        <v>364</v>
      </c>
    </row>
    <row r="20" spans="1:1">
      <c r="A20" s="95" t="s">
        <v>365</v>
      </c>
    </row>
    <row r="21" spans="1:1" ht="47.25">
      <c r="A21" s="315" t="s">
        <v>366</v>
      </c>
    </row>
    <row r="22" spans="1:1" ht="31.5">
      <c r="A22" s="315" t="s">
        <v>367</v>
      </c>
    </row>
    <row r="23" spans="1:1">
      <c r="A23" s="95" t="s">
        <v>59</v>
      </c>
    </row>
    <row r="24" spans="1:1">
      <c r="A24" s="95" t="s">
        <v>60</v>
      </c>
    </row>
    <row r="25" spans="1:1">
      <c r="A25" s="95" t="s">
        <v>61</v>
      </c>
    </row>
    <row r="26" spans="1:1">
      <c r="A26" s="95" t="s">
        <v>62</v>
      </c>
    </row>
    <row r="27" spans="1:1">
      <c r="A27" s="95" t="s">
        <v>63</v>
      </c>
    </row>
    <row r="28" spans="1:1">
      <c r="A28" s="95" t="s">
        <v>64</v>
      </c>
    </row>
    <row r="29" spans="1:1">
      <c r="A29" s="95" t="s">
        <v>65</v>
      </c>
    </row>
    <row r="30" spans="1:1">
      <c r="A30" s="95" t="s">
        <v>66</v>
      </c>
    </row>
    <row r="31" spans="1:1">
      <c r="A31" s="95" t="s">
        <v>67</v>
      </c>
    </row>
    <row r="32" spans="1:1">
      <c r="A32" s="95" t="s">
        <v>68</v>
      </c>
    </row>
    <row r="36" spans="1:1">
      <c r="A36" s="352" t="s">
        <v>238</v>
      </c>
    </row>
    <row r="37" spans="1:1">
      <c r="A37" s="518" t="s">
        <v>239</v>
      </c>
    </row>
    <row r="38" spans="1:1">
      <c r="A38" s="518" t="s">
        <v>240</v>
      </c>
    </row>
    <row r="40" spans="1:1">
      <c r="A40" s="352" t="s">
        <v>211</v>
      </c>
    </row>
    <row r="41" spans="1:1">
      <c r="A41" s="518" t="s">
        <v>212</v>
      </c>
    </row>
    <row r="42" spans="1:1">
      <c r="A42" s="518" t="s">
        <v>213</v>
      </c>
    </row>
    <row r="43" spans="1:1" ht="31.5">
      <c r="A43" s="519" t="s">
        <v>236</v>
      </c>
    </row>
    <row r="44" spans="1:1">
      <c r="A44" s="518" t="s">
        <v>214</v>
      </c>
    </row>
    <row r="45" spans="1:1">
      <c r="A45" s="518" t="s">
        <v>215</v>
      </c>
    </row>
    <row r="46" spans="1:1">
      <c r="A46" s="518" t="s">
        <v>216</v>
      </c>
    </row>
    <row r="47" spans="1:1">
      <c r="A47" s="518" t="s">
        <v>217</v>
      </c>
    </row>
    <row r="48" spans="1:1">
      <c r="A48" s="518" t="s">
        <v>218</v>
      </c>
    </row>
    <row r="49" spans="1:1">
      <c r="A49" s="518" t="s">
        <v>219</v>
      </c>
    </row>
    <row r="50" spans="1:1">
      <c r="A50" s="518" t="s">
        <v>220</v>
      </c>
    </row>
    <row r="51" spans="1:1">
      <c r="A51" s="518" t="s">
        <v>221</v>
      </c>
    </row>
    <row r="52" spans="1:1">
      <c r="A52" s="518" t="s">
        <v>222</v>
      </c>
    </row>
    <row r="53" spans="1:1">
      <c r="A53" s="518" t="s">
        <v>223</v>
      </c>
    </row>
    <row r="54" spans="1:1">
      <c r="A54" s="518" t="s">
        <v>224</v>
      </c>
    </row>
    <row r="55" spans="1:1">
      <c r="A55" s="518" t="s">
        <v>225</v>
      </c>
    </row>
    <row r="56" spans="1:1">
      <c r="A56" s="518" t="s">
        <v>226</v>
      </c>
    </row>
    <row r="57" spans="1:1">
      <c r="A57" s="518" t="s">
        <v>227</v>
      </c>
    </row>
    <row r="58" spans="1:1">
      <c r="A58" s="518" t="s">
        <v>228</v>
      </c>
    </row>
    <row r="59" spans="1:1">
      <c r="A59" s="518" t="s">
        <v>229</v>
      </c>
    </row>
    <row r="60" spans="1:1">
      <c r="A60" s="518" t="s">
        <v>230</v>
      </c>
    </row>
    <row r="61" spans="1:1">
      <c r="A61" s="518" t="s">
        <v>231</v>
      </c>
    </row>
    <row r="62" spans="1:1">
      <c r="A62" s="518" t="s">
        <v>232</v>
      </c>
    </row>
    <row r="63" spans="1:1">
      <c r="A63" s="518" t="s">
        <v>237</v>
      </c>
    </row>
    <row r="65" spans="1:1">
      <c r="A65" s="352" t="s">
        <v>98</v>
      </c>
    </row>
    <row r="66" spans="1:1">
      <c r="A66" s="95" t="s">
        <v>101</v>
      </c>
    </row>
    <row r="67" spans="1:1">
      <c r="A67" s="95" t="s">
        <v>99</v>
      </c>
    </row>
    <row r="68" spans="1:1">
      <c r="A68" s="95" t="s">
        <v>100</v>
      </c>
    </row>
    <row r="70" spans="1:1">
      <c r="A70" s="363" t="s">
        <v>90</v>
      </c>
    </row>
    <row r="71" spans="1:1">
      <c r="A71" s="95" t="s">
        <v>97</v>
      </c>
    </row>
    <row r="73" spans="1:1">
      <c r="A73" s="352" t="s">
        <v>698</v>
      </c>
    </row>
    <row r="74" spans="1:1">
      <c r="A74" s="353" t="s">
        <v>699</v>
      </c>
    </row>
    <row r="75" spans="1:1">
      <c r="A75" s="353" t="s">
        <v>700</v>
      </c>
    </row>
    <row r="76" spans="1:1">
      <c r="A76" s="353" t="s">
        <v>701</v>
      </c>
    </row>
    <row r="77" spans="1:1">
      <c r="A77" s="95" t="s">
        <v>702</v>
      </c>
    </row>
    <row r="79" spans="1:1">
      <c r="A79" s="314" t="s">
        <v>654</v>
      </c>
    </row>
    <row r="80" spans="1:1">
      <c r="A80" s="95" t="s">
        <v>645</v>
      </c>
    </row>
    <row r="81" spans="1:1">
      <c r="A81" s="95" t="s">
        <v>646</v>
      </c>
    </row>
    <row r="82" spans="1:1">
      <c r="A82" s="95" t="s">
        <v>647</v>
      </c>
    </row>
    <row r="83" spans="1:1">
      <c r="A83" s="95" t="s">
        <v>648</v>
      </c>
    </row>
    <row r="84" spans="1:1">
      <c r="A84" s="95" t="s">
        <v>649</v>
      </c>
    </row>
    <row r="85" spans="1:1">
      <c r="A85" s="95" t="s">
        <v>650</v>
      </c>
    </row>
    <row r="86" spans="1:1">
      <c r="A86" s="95" t="s">
        <v>667</v>
      </c>
    </row>
    <row r="87" spans="1:1">
      <c r="A87" s="95" t="s">
        <v>668</v>
      </c>
    </row>
    <row r="88" spans="1:1">
      <c r="A88" s="95" t="s">
        <v>669</v>
      </c>
    </row>
    <row r="89" spans="1:1">
      <c r="A89" s="95" t="s">
        <v>670</v>
      </c>
    </row>
    <row r="90" spans="1:1">
      <c r="A90" s="95" t="s">
        <v>671</v>
      </c>
    </row>
    <row r="91" spans="1:1">
      <c r="A91" s="95" t="s">
        <v>672</v>
      </c>
    </row>
    <row r="93" spans="1:1">
      <c r="A93" s="314" t="s">
        <v>640</v>
      </c>
    </row>
    <row r="94" spans="1:1">
      <c r="A94" s="95" t="s">
        <v>651</v>
      </c>
    </row>
    <row r="95" spans="1:1">
      <c r="A95" s="95" t="s">
        <v>641</v>
      </c>
    </row>
    <row r="96" spans="1:1">
      <c r="A96" s="95" t="s">
        <v>642</v>
      </c>
    </row>
    <row r="98" spans="1:1">
      <c r="A98" s="314" t="s">
        <v>636</v>
      </c>
    </row>
    <row r="99" spans="1:1">
      <c r="A99" s="95" t="s">
        <v>637</v>
      </c>
    </row>
    <row r="100" spans="1:1">
      <c r="A100" s="95" t="s">
        <v>638</v>
      </c>
    </row>
    <row r="102" spans="1:1">
      <c r="A102" s="314" t="s">
        <v>617</v>
      </c>
    </row>
    <row r="103" spans="1:1">
      <c r="A103" s="95" t="s">
        <v>618</v>
      </c>
    </row>
    <row r="104" spans="1:1" ht="36" customHeight="1">
      <c r="A104" s="315" t="s">
        <v>619</v>
      </c>
    </row>
    <row r="105" spans="1:1">
      <c r="A105" s="95" t="s">
        <v>620</v>
      </c>
    </row>
    <row r="106" spans="1:1" ht="18.75" customHeight="1">
      <c r="A106" s="95" t="s">
        <v>621</v>
      </c>
    </row>
    <row r="107" spans="1:1">
      <c r="A107" s="95" t="s">
        <v>622</v>
      </c>
    </row>
    <row r="108" spans="1:1" ht="24.75" customHeight="1">
      <c r="A108" s="95" t="s">
        <v>623</v>
      </c>
    </row>
    <row r="109" spans="1:1" ht="39" customHeight="1">
      <c r="A109" s="315" t="s">
        <v>624</v>
      </c>
    </row>
    <row r="110" spans="1:1" ht="38.25" customHeight="1">
      <c r="A110" s="315" t="s">
        <v>625</v>
      </c>
    </row>
    <row r="111" spans="1:1" ht="37.5" customHeight="1">
      <c r="A111" s="315" t="s">
        <v>626</v>
      </c>
    </row>
    <row r="112" spans="1:1" ht="21" customHeight="1">
      <c r="A112" s="315" t="s">
        <v>627</v>
      </c>
    </row>
    <row r="113" spans="1:1" ht="35.25" customHeight="1">
      <c r="A113" s="315" t="s">
        <v>628</v>
      </c>
    </row>
    <row r="114" spans="1:1">
      <c r="A114" s="95" t="s">
        <v>629</v>
      </c>
    </row>
    <row r="115" spans="1:1">
      <c r="A115" s="95" t="s">
        <v>630</v>
      </c>
    </row>
    <row r="116" spans="1:1">
      <c r="A116" s="95" t="s">
        <v>631</v>
      </c>
    </row>
    <row r="117" spans="1:1">
      <c r="A117" s="95" t="s">
        <v>632</v>
      </c>
    </row>
    <row r="118" spans="1:1">
      <c r="A118" s="95" t="s">
        <v>633</v>
      </c>
    </row>
    <row r="121" spans="1:1">
      <c r="A121" s="314" t="s">
        <v>545</v>
      </c>
    </row>
    <row r="122" spans="1:1">
      <c r="A122" s="95" t="s">
        <v>553</v>
      </c>
    </row>
    <row r="123" spans="1:1">
      <c r="A123" s="95" t="s">
        <v>554</v>
      </c>
    </row>
    <row r="124" spans="1:1">
      <c r="A124" s="95" t="s">
        <v>555</v>
      </c>
    </row>
    <row r="125" spans="1:1">
      <c r="A125" s="95" t="s">
        <v>568</v>
      </c>
    </row>
    <row r="126" spans="1:1">
      <c r="A126" s="95" t="s">
        <v>556</v>
      </c>
    </row>
    <row r="127" spans="1:1">
      <c r="A127" s="95" t="s">
        <v>557</v>
      </c>
    </row>
    <row r="128" spans="1:1">
      <c r="A128" s="95" t="s">
        <v>558</v>
      </c>
    </row>
    <row r="129" spans="1:1">
      <c r="A129" s="95" t="s">
        <v>559</v>
      </c>
    </row>
    <row r="130" spans="1:1">
      <c r="A130" s="95" t="s">
        <v>569</v>
      </c>
    </row>
    <row r="131" spans="1:1">
      <c r="A131" s="95" t="s">
        <v>560</v>
      </c>
    </row>
    <row r="132" spans="1:1">
      <c r="A132" s="95" t="s">
        <v>561</v>
      </c>
    </row>
    <row r="133" spans="1:1">
      <c r="A133" s="95" t="s">
        <v>562</v>
      </c>
    </row>
    <row r="134" spans="1:1">
      <c r="A134" s="95" t="s">
        <v>570</v>
      </c>
    </row>
    <row r="135" spans="1:1">
      <c r="A135" s="95" t="s">
        <v>571</v>
      </c>
    </row>
    <row r="136" spans="1:1">
      <c r="A136" s="95" t="s">
        <v>577</v>
      </c>
    </row>
    <row r="137" spans="1:1">
      <c r="A137" s="95" t="s">
        <v>652</v>
      </c>
    </row>
    <row r="138" spans="1:1">
      <c r="A138" s="95" t="s">
        <v>368</v>
      </c>
    </row>
    <row r="139" spans="1:1">
      <c r="A139" s="95" t="s">
        <v>369</v>
      </c>
    </row>
    <row r="140" spans="1:1">
      <c r="A140" s="95" t="s">
        <v>370</v>
      </c>
    </row>
    <row r="141" spans="1:1">
      <c r="A141" s="95" t="s">
        <v>653</v>
      </c>
    </row>
    <row r="142" spans="1:1">
      <c r="A142" s="95" t="s">
        <v>583</v>
      </c>
    </row>
    <row r="143" spans="1:1">
      <c r="A143" s="95" t="s">
        <v>584</v>
      </c>
    </row>
    <row r="144" spans="1:1">
      <c r="A144" s="95" t="s">
        <v>371</v>
      </c>
    </row>
    <row r="145" spans="1:1">
      <c r="A145" s="95" t="s">
        <v>372</v>
      </c>
    </row>
    <row r="146" spans="1:1">
      <c r="A146" s="95" t="s">
        <v>592</v>
      </c>
    </row>
    <row r="147" spans="1:1">
      <c r="A147" s="95" t="s">
        <v>593</v>
      </c>
    </row>
    <row r="148" spans="1:1">
      <c r="A148" s="95" t="s">
        <v>597</v>
      </c>
    </row>
  </sheetData>
  <sheetProtection sheet="1"/>
  <phoneticPr fontId="0"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E46"/>
  <sheetViews>
    <sheetView workbookViewId="0">
      <selection activeCell="B42" sqref="B42"/>
    </sheetView>
  </sheetViews>
  <sheetFormatPr defaultRowHeight="15"/>
  <cols>
    <col min="1" max="1" width="15.77734375" style="61" customWidth="1"/>
    <col min="2" max="2" width="20.77734375" style="61" customWidth="1"/>
    <col min="3" max="3" width="10.77734375" style="61" customWidth="1"/>
    <col min="4" max="4" width="15.6640625" style="61" customWidth="1"/>
    <col min="5" max="5" width="14.21875" style="61" customWidth="1"/>
    <col min="6" max="16384" width="8.88671875" style="61"/>
  </cols>
  <sheetData>
    <row r="1" spans="1:5" ht="15.75">
      <c r="A1" s="60" t="str">
        <f ca="1">inputPrYr!D3</f>
        <v>Crowm Hill Cemetery</v>
      </c>
      <c r="B1" s="60"/>
      <c r="C1" s="60"/>
      <c r="D1" s="60"/>
      <c r="E1" s="60">
        <f ca="1">inputPrYr!D6</f>
        <v>2014</v>
      </c>
    </row>
    <row r="2" spans="1:5" ht="15.75">
      <c r="A2" s="60" t="str">
        <f ca="1">inputPrYr!D4</f>
        <v xml:space="preserve">Comanche County </v>
      </c>
      <c r="B2" s="60"/>
      <c r="C2" s="60"/>
      <c r="D2" s="60"/>
      <c r="E2" s="60"/>
    </row>
    <row r="3" spans="1:5">
      <c r="A3" s="62"/>
      <c r="B3" s="62"/>
      <c r="C3" s="62"/>
      <c r="D3" s="62"/>
      <c r="E3" s="62"/>
    </row>
    <row r="4" spans="1:5" ht="15.75">
      <c r="A4" s="639" t="s">
        <v>563</v>
      </c>
      <c r="B4" s="640"/>
      <c r="C4" s="640"/>
      <c r="D4" s="640"/>
      <c r="E4" s="640"/>
    </row>
    <row r="5" spans="1:5">
      <c r="A5" s="62"/>
      <c r="B5" s="62"/>
      <c r="C5" s="62"/>
      <c r="D5" s="62"/>
      <c r="E5" s="62"/>
    </row>
    <row r="6" spans="1:5" ht="15.75">
      <c r="A6" s="63" t="str">
        <f>CONCATENATE("From the County Clerks ",E1," Budget Information:")</f>
        <v>From the County Clerks 2014 Budget Information:</v>
      </c>
      <c r="B6" s="64"/>
      <c r="C6" s="64"/>
      <c r="D6" s="18"/>
      <c r="E6" s="37"/>
    </row>
    <row r="7" spans="1:5" ht="15.75">
      <c r="A7" s="65" t="str">
        <f ca="1">CONCATENATE("Total Assessed Valuation for ",inputPrYr!D6-1,"")</f>
        <v>Total Assessed Valuation for 2013</v>
      </c>
      <c r="B7" s="40"/>
      <c r="C7" s="40"/>
      <c r="D7" s="40"/>
      <c r="E7" s="50">
        <v>45043731</v>
      </c>
    </row>
    <row r="8" spans="1:5" ht="15.75">
      <c r="A8" s="66" t="str">
        <f ca="1">CONCATENATE("New Improvements for ",inputPrYr!D6-1,"")</f>
        <v>New Improvements for 2013</v>
      </c>
      <c r="B8" s="67"/>
      <c r="C8" s="67"/>
      <c r="D8" s="67"/>
      <c r="E8" s="68">
        <v>127278</v>
      </c>
    </row>
    <row r="9" spans="1:5" ht="15.75">
      <c r="A9" s="66" t="str">
        <f ca="1">CONCATENATE("Personal Property excluding oil, gas, and mobile homes- ",inputPrYr!D6-1,"")</f>
        <v>Personal Property excluding oil, gas, and mobile homes- 2013</v>
      </c>
      <c r="B9" s="67"/>
      <c r="C9" s="67"/>
      <c r="D9" s="67"/>
      <c r="E9" s="68">
        <v>412427</v>
      </c>
    </row>
    <row r="10" spans="1:5" ht="15.75">
      <c r="A10" s="66" t="str">
        <f ca="1">CONCATENATE("Property that has changed in use for ",inputPrYr!D6-1,"")</f>
        <v>Property that has changed in use for 2013</v>
      </c>
      <c r="B10" s="67"/>
      <c r="C10" s="67"/>
      <c r="D10" s="67"/>
      <c r="E10" s="68">
        <v>95269</v>
      </c>
    </row>
    <row r="11" spans="1:5" ht="15.75">
      <c r="A11" s="65" t="str">
        <f ca="1">CONCATENATE("Personal Property excluding oil, gas, and mobile homes- ",inputPrYr!D6-2,"")</f>
        <v>Personal Property excluding oil, gas, and mobile homes- 2012</v>
      </c>
      <c r="B11" s="40"/>
      <c r="C11" s="40"/>
      <c r="D11" s="40"/>
      <c r="E11" s="68">
        <v>330344</v>
      </c>
    </row>
    <row r="12" spans="1:5" ht="15.75">
      <c r="A12" s="66" t="str">
        <f>CONCATENATE("Neighborhood Revitalization - ",E1,"")</f>
        <v>Neighborhood Revitalization - 2014</v>
      </c>
      <c r="B12" s="67"/>
      <c r="C12" s="67"/>
      <c r="D12" s="67"/>
      <c r="E12" s="68" t="s">
        <v>351</v>
      </c>
    </row>
    <row r="13" spans="1:5" ht="15.75">
      <c r="A13" s="43"/>
      <c r="B13" s="69"/>
      <c r="C13" s="69"/>
      <c r="D13" s="69"/>
      <c r="E13" s="70"/>
    </row>
    <row r="14" spans="1:5" ht="15.75">
      <c r="A14" s="71" t="str">
        <f>CONCATENATE("Actual Tax Rates for the ",E1-1," Budget:")</f>
        <v>Actual Tax Rates for the 2013 Budget:</v>
      </c>
      <c r="B14" s="69"/>
      <c r="C14" s="69"/>
      <c r="D14" s="69"/>
      <c r="E14" s="72"/>
    </row>
    <row r="15" spans="1:5" ht="15.75">
      <c r="A15" s="649" t="s">
        <v>394</v>
      </c>
      <c r="B15" s="644"/>
      <c r="C15" s="62"/>
      <c r="D15" s="73" t="s">
        <v>431</v>
      </c>
      <c r="E15" s="72"/>
    </row>
    <row r="16" spans="1:5" ht="15.75">
      <c r="A16" s="65" t="s">
        <v>378</v>
      </c>
      <c r="B16" s="40"/>
      <c r="C16" s="69"/>
      <c r="D16" s="74">
        <v>1.204</v>
      </c>
      <c r="E16" s="72"/>
    </row>
    <row r="17" spans="1:5" ht="15.75">
      <c r="A17" s="66" t="s">
        <v>639</v>
      </c>
      <c r="B17" s="67"/>
      <c r="C17" s="69"/>
      <c r="D17" s="75"/>
      <c r="E17" s="72"/>
    </row>
    <row r="18" spans="1:5" ht="15.75">
      <c r="A18" s="66">
        <f ca="1">inputPrYr!B22</f>
        <v>0</v>
      </c>
      <c r="B18" s="67"/>
      <c r="C18" s="69"/>
      <c r="D18" s="75"/>
      <c r="E18" s="72"/>
    </row>
    <row r="19" spans="1:5" ht="15.75">
      <c r="A19" s="66">
        <f ca="1">inputPrYr!B23</f>
        <v>0</v>
      </c>
      <c r="B19" s="67"/>
      <c r="C19" s="69"/>
      <c r="D19" s="75"/>
      <c r="E19" s="72"/>
    </row>
    <row r="20" spans="1:5" ht="15.75">
      <c r="A20" s="66"/>
      <c r="B20" s="67"/>
      <c r="C20" s="69"/>
      <c r="D20" s="75"/>
      <c r="E20" s="72"/>
    </row>
    <row r="21" spans="1:5" ht="15.75">
      <c r="A21" s="66"/>
      <c r="B21" s="67"/>
      <c r="C21" s="69"/>
      <c r="D21" s="76"/>
      <c r="E21" s="72"/>
    </row>
    <row r="22" spans="1:5" ht="15.75">
      <c r="A22" s="77"/>
      <c r="B22" s="40" t="s">
        <v>573</v>
      </c>
      <c r="C22" s="78"/>
      <c r="D22" s="79">
        <f>SUM(D16:D21)</f>
        <v>1.204</v>
      </c>
      <c r="E22" s="77"/>
    </row>
    <row r="23" spans="1:5">
      <c r="A23" s="77"/>
      <c r="B23" s="77"/>
      <c r="C23" s="77"/>
      <c r="D23" s="77"/>
      <c r="E23" s="77"/>
    </row>
    <row r="24" spans="1:5" ht="15.75">
      <c r="A24" s="40" t="str">
        <f>CONCATENATE("Final Assessed Valuation from the November 1, ",E1-2," Abstract")</f>
        <v>Final Assessed Valuation from the November 1, 2012 Abstract</v>
      </c>
      <c r="B24" s="80"/>
      <c r="C24" s="80"/>
      <c r="D24" s="80"/>
      <c r="E24" s="56">
        <v>30065504</v>
      </c>
    </row>
    <row r="25" spans="1:5">
      <c r="A25" s="77"/>
      <c r="B25" s="77"/>
      <c r="C25" s="77"/>
      <c r="D25" s="77"/>
      <c r="E25" s="77"/>
    </row>
    <row r="26" spans="1:5" ht="15.75">
      <c r="A26" s="81" t="str">
        <f>CONCATENATE("From the County Treasurer's Budget Information - ",E1," Budget Year Estimates:")</f>
        <v>From the County Treasurer's Budget Information - 2014 Budget Year Estimates:</v>
      </c>
      <c r="B26" s="27"/>
      <c r="C26" s="27"/>
      <c r="D26" s="82"/>
      <c r="E26" s="37"/>
    </row>
    <row r="27" spans="1:5" ht="15.75">
      <c r="A27" s="65" t="s">
        <v>382</v>
      </c>
      <c r="B27" s="40"/>
      <c r="C27" s="40"/>
      <c r="D27" s="83"/>
      <c r="E27" s="35">
        <v>1246.01</v>
      </c>
    </row>
    <row r="28" spans="1:5" ht="15.75">
      <c r="A28" s="66" t="s">
        <v>383</v>
      </c>
      <c r="B28" s="67"/>
      <c r="C28" s="67"/>
      <c r="D28" s="84"/>
      <c r="E28" s="35">
        <v>17.399999999999999</v>
      </c>
    </row>
    <row r="29" spans="1:5" ht="15.75">
      <c r="A29" s="66" t="s">
        <v>539</v>
      </c>
      <c r="B29" s="67"/>
      <c r="C29" s="67"/>
      <c r="D29" s="84"/>
      <c r="E29" s="35">
        <v>354.36</v>
      </c>
    </row>
    <row r="30" spans="1:5" ht="15.75">
      <c r="A30" s="66" t="s">
        <v>527</v>
      </c>
      <c r="B30" s="67"/>
      <c r="C30" s="67"/>
      <c r="D30" s="84"/>
      <c r="E30" s="35"/>
    </row>
    <row r="31" spans="1:5" ht="15.75">
      <c r="A31" s="65"/>
      <c r="B31" s="40"/>
      <c r="C31" s="40"/>
      <c r="D31" s="83"/>
      <c r="E31" s="35"/>
    </row>
    <row r="32" spans="1:5" ht="15.75">
      <c r="A32" s="18" t="s">
        <v>540</v>
      </c>
      <c r="B32" s="18"/>
      <c r="C32" s="18"/>
      <c r="D32" s="18"/>
      <c r="E32" s="18"/>
    </row>
    <row r="33" spans="1:5" ht="15.75">
      <c r="A33" s="85" t="s">
        <v>479</v>
      </c>
      <c r="B33" s="24"/>
      <c r="C33" s="24"/>
      <c r="D33" s="18"/>
      <c r="E33" s="18"/>
    </row>
    <row r="34" spans="1:5" ht="15.75">
      <c r="A34" s="65" t="str">
        <f>CONCATENATE("Actual Delinquency for ",E1-3," Tax - (rate .01213 = 1.213%, key in 1.2)")</f>
        <v>Actual Delinquency for 2011 Tax - (rate .01213 = 1.213%, key in 1.2)</v>
      </c>
      <c r="B34" s="40"/>
      <c r="C34" s="40"/>
      <c r="D34" s="44"/>
      <c r="E34" s="535">
        <v>0</v>
      </c>
    </row>
    <row r="35" spans="1:5" ht="15.75">
      <c r="A35" s="66" t="s">
        <v>249</v>
      </c>
      <c r="B35" s="86"/>
      <c r="C35" s="69"/>
      <c r="D35" s="69"/>
      <c r="E35" s="536">
        <v>0</v>
      </c>
    </row>
    <row r="36" spans="1:5" ht="15.75">
      <c r="A36" s="87" t="s">
        <v>541</v>
      </c>
      <c r="B36" s="87"/>
      <c r="C36" s="88"/>
      <c r="D36" s="88"/>
      <c r="E36" s="89"/>
    </row>
    <row r="37" spans="1:5">
      <c r="A37" s="62"/>
      <c r="B37" s="62"/>
      <c r="C37" s="62"/>
      <c r="D37" s="62"/>
      <c r="E37" s="62"/>
    </row>
    <row r="38" spans="1:5" ht="15.75">
      <c r="A38" s="650" t="str">
        <f>CONCATENATE("From the ",E1-2," Budget Certificate Page")</f>
        <v>From the 2012 Budget Certificate Page</v>
      </c>
      <c r="B38" s="651"/>
      <c r="C38" s="62"/>
      <c r="D38" s="62"/>
      <c r="E38" s="62"/>
    </row>
    <row r="39" spans="1:5" ht="15.75">
      <c r="A39" s="90"/>
      <c r="B39" s="90" t="str">
        <f>CONCATENATE("",E1-2," Expenditure Amounts")</f>
        <v>2012 Expenditure Amounts</v>
      </c>
      <c r="C39" s="652" t="str">
        <f>CONCATENATE("Note: If the ",E1-2," budget was amended, then the")</f>
        <v>Note: If the 2012 budget was amended, then the</v>
      </c>
      <c r="D39" s="653"/>
      <c r="E39" s="653"/>
    </row>
    <row r="40" spans="1:5" ht="15.75">
      <c r="A40" s="91" t="s">
        <v>579</v>
      </c>
      <c r="B40" s="91" t="s">
        <v>580</v>
      </c>
      <c r="C40" s="92" t="s">
        <v>581</v>
      </c>
      <c r="D40" s="93"/>
      <c r="E40" s="93"/>
    </row>
    <row r="41" spans="1:5" ht="15.75">
      <c r="A41" s="94" t="str">
        <f ca="1">inputPrYr!B19</f>
        <v>General</v>
      </c>
      <c r="B41" s="56">
        <v>45482</v>
      </c>
      <c r="C41" s="92" t="s">
        <v>582</v>
      </c>
      <c r="D41" s="93"/>
      <c r="E41" s="93"/>
    </row>
    <row r="42" spans="1:5" ht="15.75">
      <c r="A42" s="94" t="str">
        <f ca="1">inputPrYr!B20</f>
        <v>Debt Service</v>
      </c>
      <c r="B42" s="56"/>
      <c r="C42" s="92"/>
      <c r="D42" s="93"/>
      <c r="E42" s="93"/>
    </row>
    <row r="43" spans="1:5" ht="15.75">
      <c r="A43" s="94">
        <f ca="1">inputPrYr!B22</f>
        <v>0</v>
      </c>
      <c r="B43" s="56"/>
      <c r="C43" s="62"/>
      <c r="D43" s="62"/>
      <c r="E43" s="62"/>
    </row>
    <row r="44" spans="1:5" ht="15.75">
      <c r="A44" s="94">
        <f ca="1">inputPrYr!B23</f>
        <v>0</v>
      </c>
      <c r="B44" s="56"/>
      <c r="C44" s="62"/>
      <c r="D44" s="62"/>
      <c r="E44" s="62"/>
    </row>
    <row r="45" spans="1:5" ht="15.75">
      <c r="A45" s="94">
        <f ca="1">inputPrYr!B26</f>
        <v>0</v>
      </c>
      <c r="B45" s="56"/>
      <c r="C45" s="62"/>
      <c r="D45" s="62"/>
      <c r="E45" s="62"/>
    </row>
    <row r="46" spans="1:5" ht="15.75">
      <c r="A46" s="94">
        <f ca="1">inputPrYr!B27</f>
        <v>0</v>
      </c>
      <c r="B46" s="56"/>
      <c r="C46" s="62"/>
      <c r="D46" s="62"/>
      <c r="E46" s="62"/>
    </row>
  </sheetData>
  <sheetProtection sheet="1"/>
  <mergeCells count="4">
    <mergeCell ref="A15:B15"/>
    <mergeCell ref="A4:E4"/>
    <mergeCell ref="A38:B38"/>
    <mergeCell ref="C39:E39"/>
  </mergeCells>
  <phoneticPr fontId="15" type="noConversion"/>
  <pageMargins left="0.75" right="0.75" top="1" bottom="1" header="0.5" footer="0.5"/>
  <pageSetup scale="86" orientation="portrait" blackAndWhite="1" r:id="rId1"/>
  <headerFooter alignWithMargins="0"/>
</worksheet>
</file>

<file path=xl/worksheets/sheet4.xml><?xml version="1.0" encoding="utf-8"?>
<worksheet xmlns="http://schemas.openxmlformats.org/spreadsheetml/2006/main" xmlns:r="http://schemas.openxmlformats.org/officeDocument/2006/relationships">
  <dimension ref="A1:J25"/>
  <sheetViews>
    <sheetView workbookViewId="0">
      <selection activeCell="B11" sqref="B11"/>
    </sheetView>
  </sheetViews>
  <sheetFormatPr defaultRowHeight="15"/>
  <cols>
    <col min="1" max="1" width="13.77734375" customWidth="1"/>
    <col min="2" max="2" width="16.109375" customWidth="1"/>
  </cols>
  <sheetData>
    <row r="1" spans="1:10">
      <c r="J1" s="539" t="s">
        <v>253</v>
      </c>
    </row>
    <row r="2" spans="1:10" ht="54" customHeight="1">
      <c r="A2" s="654" t="s">
        <v>687</v>
      </c>
      <c r="B2" s="655"/>
      <c r="C2" s="655"/>
      <c r="D2" s="655"/>
      <c r="E2" s="655"/>
      <c r="F2" s="655"/>
      <c r="J2" s="539" t="s">
        <v>254</v>
      </c>
    </row>
    <row r="3" spans="1:10" ht="15.75">
      <c r="A3" s="537" t="s">
        <v>251</v>
      </c>
      <c r="B3" s="538" t="s">
        <v>337</v>
      </c>
      <c r="C3" s="538"/>
      <c r="J3" s="539" t="s">
        <v>255</v>
      </c>
    </row>
    <row r="4" spans="1:10" ht="15.75">
      <c r="A4" s="339"/>
      <c r="B4" s="339"/>
      <c r="C4" s="339"/>
      <c r="D4" s="340"/>
      <c r="E4" s="339"/>
      <c r="F4" s="339"/>
      <c r="J4" s="539" t="s">
        <v>256</v>
      </c>
    </row>
    <row r="5" spans="1:10" ht="15.75">
      <c r="A5" s="537" t="s">
        <v>252</v>
      </c>
      <c r="B5" s="538"/>
      <c r="C5" s="339"/>
      <c r="D5" s="340"/>
      <c r="E5" s="339"/>
      <c r="F5" s="339"/>
      <c r="J5" s="539" t="s">
        <v>257</v>
      </c>
    </row>
    <row r="6" spans="1:10" ht="15.75">
      <c r="A6" s="339"/>
      <c r="B6" s="339"/>
      <c r="C6" s="339"/>
      <c r="D6" s="340"/>
      <c r="E6" s="339"/>
      <c r="F6" s="339"/>
      <c r="J6" s="539" t="s">
        <v>258</v>
      </c>
    </row>
    <row r="7" spans="1:10" ht="15.75">
      <c r="A7" s="341" t="s">
        <v>688</v>
      </c>
      <c r="B7" s="342"/>
      <c r="C7" s="343"/>
      <c r="D7" s="341" t="s">
        <v>250</v>
      </c>
      <c r="E7" s="339"/>
      <c r="F7" s="339"/>
      <c r="J7" s="539" t="s">
        <v>259</v>
      </c>
    </row>
    <row r="8" spans="1:10" ht="15.75">
      <c r="A8" s="341"/>
      <c r="B8" s="344"/>
      <c r="C8" s="345"/>
      <c r="D8" s="540" t="str">
        <f>IF(B7="","",CONCATENATE("Latest date for notice to be published in your newspaper: ",G18," ",G22,", ",G23))</f>
        <v/>
      </c>
      <c r="E8" s="339"/>
      <c r="F8" s="339"/>
      <c r="J8" s="539" t="s">
        <v>260</v>
      </c>
    </row>
    <row r="9" spans="1:10" ht="15.75">
      <c r="A9" s="341" t="s">
        <v>689</v>
      </c>
      <c r="B9" s="342" t="s">
        <v>340</v>
      </c>
      <c r="C9" s="346"/>
      <c r="D9" s="341"/>
      <c r="E9" s="339"/>
      <c r="F9" s="339"/>
      <c r="J9" s="539" t="s">
        <v>261</v>
      </c>
    </row>
    <row r="10" spans="1:10" ht="15.75">
      <c r="A10" s="341"/>
      <c r="B10" s="341"/>
      <c r="C10" s="341"/>
      <c r="D10" s="341"/>
      <c r="E10" s="339"/>
      <c r="F10" s="339"/>
      <c r="J10" s="539" t="s">
        <v>262</v>
      </c>
    </row>
    <row r="11" spans="1:10" ht="15.75">
      <c r="A11" s="341" t="s">
        <v>690</v>
      </c>
      <c r="B11" s="347" t="s">
        <v>338</v>
      </c>
      <c r="C11" s="347"/>
      <c r="D11" s="347"/>
      <c r="E11" s="348"/>
      <c r="F11" s="339"/>
      <c r="J11" s="539" t="s">
        <v>263</v>
      </c>
    </row>
    <row r="12" spans="1:10" ht="15.75">
      <c r="A12" s="341"/>
      <c r="B12" s="341"/>
      <c r="C12" s="341"/>
      <c r="D12" s="341"/>
      <c r="E12" s="339"/>
      <c r="F12" s="339"/>
      <c r="J12" s="539" t="s">
        <v>264</v>
      </c>
    </row>
    <row r="13" spans="1:10" ht="15.75">
      <c r="A13" s="341"/>
      <c r="B13" s="341"/>
      <c r="C13" s="341"/>
      <c r="D13" s="341"/>
      <c r="E13" s="339"/>
      <c r="F13" s="339"/>
    </row>
    <row r="14" spans="1:10" ht="15.75">
      <c r="A14" s="341" t="s">
        <v>691</v>
      </c>
      <c r="B14" s="347" t="s">
        <v>339</v>
      </c>
      <c r="C14" s="347"/>
      <c r="D14" s="347"/>
      <c r="E14" s="348"/>
      <c r="F14" s="339"/>
    </row>
    <row r="17" spans="1:7" ht="15.75">
      <c r="A17" s="656" t="s">
        <v>692</v>
      </c>
      <c r="B17" s="656"/>
      <c r="C17" s="341"/>
      <c r="D17" s="341"/>
      <c r="E17" s="341"/>
      <c r="F17" s="339"/>
    </row>
    <row r="18" spans="1:7" ht="15.75">
      <c r="A18" s="341"/>
      <c r="B18" s="341"/>
      <c r="C18" s="341"/>
      <c r="D18" s="341"/>
      <c r="E18" s="341"/>
      <c r="F18" s="339"/>
      <c r="G18" s="539" t="str">
        <f ca="1">IF(B7="","",INDIRECT(G19))</f>
        <v/>
      </c>
    </row>
    <row r="19" spans="1:7" ht="15.75">
      <c r="A19" s="341" t="s">
        <v>688</v>
      </c>
      <c r="B19" s="344" t="s">
        <v>693</v>
      </c>
      <c r="C19" s="341"/>
      <c r="D19" s="341"/>
      <c r="E19" s="341"/>
      <c r="G19" s="541" t="str">
        <f>IF(B7="","",CONCATENATE("J",G21))</f>
        <v/>
      </c>
    </row>
    <row r="20" spans="1:7" ht="15.75">
      <c r="A20" s="341"/>
      <c r="B20" s="341"/>
      <c r="C20" s="341"/>
      <c r="D20" s="341"/>
      <c r="E20" s="341"/>
      <c r="G20" s="542">
        <f>B7-10</f>
        <v>-10</v>
      </c>
    </row>
    <row r="21" spans="1:7" ht="15.75">
      <c r="A21" s="341" t="s">
        <v>689</v>
      </c>
      <c r="B21" s="341" t="s">
        <v>694</v>
      </c>
      <c r="C21" s="341"/>
      <c r="D21" s="341"/>
      <c r="E21" s="341"/>
      <c r="G21" s="543" t="str">
        <f>IF(B7="","",MONTH(G20))</f>
        <v/>
      </c>
    </row>
    <row r="22" spans="1:7" ht="15.75">
      <c r="A22" s="341"/>
      <c r="B22" s="341"/>
      <c r="C22" s="341"/>
      <c r="D22" s="341"/>
      <c r="E22" s="341"/>
      <c r="G22" s="544" t="str">
        <f>IF(B7="","",DAY(G20))</f>
        <v/>
      </c>
    </row>
    <row r="23" spans="1:7" ht="15.75">
      <c r="A23" s="341" t="s">
        <v>690</v>
      </c>
      <c r="B23" s="341" t="s">
        <v>696</v>
      </c>
      <c r="C23" s="341"/>
      <c r="D23" s="341"/>
      <c r="E23" s="341"/>
      <c r="G23" s="545" t="str">
        <f>IF(B7="","",YEAR(G20))</f>
        <v/>
      </c>
    </row>
    <row r="24" spans="1:7" ht="15.75">
      <c r="A24" s="341"/>
      <c r="B24" s="341"/>
      <c r="C24" s="341"/>
      <c r="D24" s="341"/>
      <c r="E24" s="341"/>
    </row>
    <row r="25" spans="1:7" ht="15.75">
      <c r="A25" s="341" t="s">
        <v>691</v>
      </c>
      <c r="B25" s="341" t="s">
        <v>695</v>
      </c>
      <c r="C25" s="341"/>
      <c r="D25" s="341"/>
      <c r="E25" s="341"/>
    </row>
  </sheetData>
  <sheetProtection sheet="1"/>
  <mergeCells count="2">
    <mergeCell ref="A2:F2"/>
    <mergeCell ref="A17:B17"/>
  </mergeCells>
  <phoneticPr fontId="0" type="noConversion"/>
  <pageMargins left="0.7" right="0.7" top="0.75" bottom="0.75" header="0.3" footer="0.3"/>
  <pageSetup orientation="portrait" blackAndWhite="1" r:id="rId1"/>
</worksheet>
</file>

<file path=xl/worksheets/sheet5.xml><?xml version="1.0" encoding="utf-8"?>
<worksheet xmlns="http://schemas.openxmlformats.org/spreadsheetml/2006/main" xmlns:r="http://schemas.openxmlformats.org/officeDocument/2006/relationships">
  <sheetPr>
    <pageSetUpPr fitToPage="1"/>
  </sheetPr>
  <dimension ref="A1:H65"/>
  <sheetViews>
    <sheetView topLeftCell="A18" workbookViewId="0">
      <selection activeCell="O25" sqref="O25"/>
    </sheetView>
  </sheetViews>
  <sheetFormatPr defaultRowHeight="15.75"/>
  <cols>
    <col min="1" max="1" width="11.77734375" style="95" customWidth="1"/>
    <col min="2" max="3" width="9.77734375" style="95" customWidth="1"/>
    <col min="4" max="4" width="8.77734375" style="95" customWidth="1"/>
    <col min="5" max="7" width="14.77734375" style="95" customWidth="1"/>
    <col min="8" max="8" width="2.6640625" style="95" customWidth="1"/>
    <col min="9" max="9" width="3.21875" style="95" customWidth="1"/>
    <col min="10" max="16384" width="8.88671875" style="95"/>
  </cols>
  <sheetData>
    <row r="1" spans="1:8">
      <c r="A1" s="60"/>
      <c r="B1" s="60"/>
      <c r="C1" s="60"/>
      <c r="D1" s="60"/>
      <c r="E1" s="60"/>
      <c r="F1" s="60"/>
      <c r="G1" s="60"/>
    </row>
    <row r="2" spans="1:8">
      <c r="A2" s="660" t="s">
        <v>447</v>
      </c>
      <c r="B2" s="660"/>
      <c r="C2" s="660"/>
      <c r="D2" s="660"/>
      <c r="E2" s="660"/>
      <c r="F2" s="660"/>
      <c r="G2" s="660"/>
    </row>
    <row r="3" spans="1:8">
      <c r="A3" s="18"/>
      <c r="B3" s="18"/>
      <c r="C3" s="18"/>
      <c r="D3" s="18"/>
      <c r="E3" s="18"/>
      <c r="F3" s="18"/>
      <c r="G3" s="60">
        <f ca="1">inputPrYr!D6</f>
        <v>2014</v>
      </c>
    </row>
    <row r="4" spans="1:8">
      <c r="A4" s="661" t="str">
        <f ca="1">CONCATENATE("To the Clerk of ",inputPrYr!D4,", State of Kansas")</f>
        <v>To the Clerk of Comanche County , State of Kansas</v>
      </c>
      <c r="B4" s="661"/>
      <c r="C4" s="661"/>
      <c r="D4" s="661"/>
      <c r="E4" s="661"/>
      <c r="F4" s="661"/>
      <c r="G4" s="661"/>
    </row>
    <row r="5" spans="1:8">
      <c r="A5" s="97" t="s">
        <v>524</v>
      </c>
      <c r="B5" s="24"/>
      <c r="C5" s="24"/>
      <c r="D5" s="24"/>
      <c r="E5" s="24"/>
      <c r="F5" s="24"/>
      <c r="G5" s="24"/>
    </row>
    <row r="6" spans="1:8">
      <c r="A6" s="641" t="str">
        <f ca="1">inputPrYr!D3</f>
        <v>Crowm Hill Cemetery</v>
      </c>
      <c r="B6" s="641"/>
      <c r="C6" s="641"/>
      <c r="D6" s="641"/>
      <c r="E6" s="641"/>
      <c r="F6" s="641"/>
      <c r="G6" s="641"/>
    </row>
    <row r="7" spans="1:8">
      <c r="A7" s="18"/>
      <c r="B7" s="18"/>
      <c r="C7" s="18"/>
      <c r="D7" s="18"/>
      <c r="E7" s="18"/>
      <c r="F7" s="18"/>
      <c r="G7" s="18"/>
    </row>
    <row r="8" spans="1:8">
      <c r="A8" s="97" t="s">
        <v>384</v>
      </c>
      <c r="B8" s="24"/>
      <c r="C8" s="24"/>
      <c r="D8" s="24"/>
      <c r="E8" s="24"/>
      <c r="F8" s="24"/>
      <c r="G8" s="24"/>
    </row>
    <row r="9" spans="1:8">
      <c r="A9" s="97" t="s">
        <v>385</v>
      </c>
      <c r="B9" s="24"/>
      <c r="C9" s="24"/>
      <c r="D9" s="24"/>
      <c r="E9" s="24"/>
      <c r="F9" s="24"/>
      <c r="G9" s="24"/>
    </row>
    <row r="10" spans="1:8">
      <c r="A10" s="97" t="str">
        <f>CONCATENATE("maximum expenditures for the various funds for the year ",G3,"; and (3) the")</f>
        <v>maximum expenditures for the various funds for the year 2014; and (3) the</v>
      </c>
      <c r="B10" s="24"/>
      <c r="C10" s="24"/>
      <c r="D10" s="24"/>
      <c r="E10" s="24"/>
      <c r="F10" s="24"/>
      <c r="G10" s="24"/>
    </row>
    <row r="11" spans="1:8">
      <c r="A11" s="97" t="str">
        <f>CONCATENATE("Amount(s) of ",G3-1," Ad Valorem Tax are within statutory  limitations for the ",G3," Budget.")</f>
        <v>Amount(s) of 2013 Ad Valorem Tax are within statutory  limitations for the 2014 Budget.</v>
      </c>
      <c r="B11" s="24"/>
      <c r="C11" s="24"/>
      <c r="D11" s="24"/>
      <c r="E11" s="24"/>
      <c r="F11" s="24"/>
      <c r="G11" s="24"/>
    </row>
    <row r="12" spans="1:8">
      <c r="A12" s="17"/>
      <c r="B12" s="18"/>
      <c r="C12" s="18"/>
      <c r="D12" s="99"/>
      <c r="E12" s="100"/>
      <c r="F12" s="100"/>
      <c r="G12" s="100"/>
    </row>
    <row r="13" spans="1:8">
      <c r="A13" s="18"/>
      <c r="B13" s="18"/>
      <c r="C13" s="18"/>
      <c r="D13" s="18"/>
      <c r="E13" s="662" t="str">
        <f>CONCATENATE("",G3," Adopted Budget")</f>
        <v>2014 Adopted Budget</v>
      </c>
      <c r="F13" s="663"/>
      <c r="G13" s="664"/>
    </row>
    <row r="14" spans="1:8">
      <c r="A14" s="17"/>
      <c r="B14" s="18"/>
      <c r="C14" s="18"/>
      <c r="D14" s="40"/>
      <c r="E14" s="101" t="s">
        <v>386</v>
      </c>
      <c r="F14" s="102"/>
      <c r="G14" s="103" t="s">
        <v>387</v>
      </c>
      <c r="H14" s="104"/>
    </row>
    <row r="15" spans="1:8">
      <c r="A15" s="18"/>
      <c r="B15" s="18"/>
      <c r="C15" s="18"/>
      <c r="D15" s="102" t="s">
        <v>388</v>
      </c>
      <c r="E15" s="105" t="s">
        <v>580</v>
      </c>
      <c r="F15" s="665" t="str">
        <f>CONCATENATE("Amount of ",G3-1," Ad Valorem Tax")</f>
        <v>Amount of 2013 Ad Valorem Tax</v>
      </c>
      <c r="G15" s="103" t="s">
        <v>389</v>
      </c>
    </row>
    <row r="16" spans="1:8">
      <c r="A16" s="17" t="s">
        <v>390</v>
      </c>
      <c r="B16" s="18"/>
      <c r="C16" s="18"/>
      <c r="D16" s="105" t="s">
        <v>391</v>
      </c>
      <c r="E16" s="105" t="s">
        <v>102</v>
      </c>
      <c r="F16" s="665"/>
      <c r="G16" s="103" t="s">
        <v>393</v>
      </c>
    </row>
    <row r="17" spans="1:7" ht="4.5" customHeight="1">
      <c r="A17" s="106"/>
      <c r="B17" s="106"/>
      <c r="C17" s="106"/>
      <c r="D17" s="107"/>
      <c r="E17" s="107"/>
      <c r="F17" s="108"/>
      <c r="G17" s="109"/>
    </row>
    <row r="18" spans="1:7">
      <c r="A18" s="110" t="str">
        <f>CONCATENATE("Computation to Determine Limit for ",G3,"")</f>
        <v>Computation to Determine Limit for 2014</v>
      </c>
      <c r="B18" s="106"/>
      <c r="C18" s="106"/>
      <c r="D18" s="111">
        <v>2</v>
      </c>
      <c r="E18" s="100"/>
      <c r="F18" s="100"/>
      <c r="G18" s="112"/>
    </row>
    <row r="19" spans="1:7">
      <c r="A19" s="113" t="s">
        <v>272</v>
      </c>
      <c r="B19" s="106"/>
      <c r="C19" s="106"/>
      <c r="D19" s="111">
        <v>3</v>
      </c>
      <c r="E19" s="100"/>
      <c r="F19" s="100"/>
      <c r="G19" s="112"/>
    </row>
    <row r="20" spans="1:7">
      <c r="A20" s="113" t="s">
        <v>513</v>
      </c>
      <c r="B20" s="106"/>
      <c r="C20" s="106"/>
      <c r="D20" s="114">
        <v>4</v>
      </c>
      <c r="E20" s="100"/>
      <c r="F20" s="100"/>
      <c r="G20" s="112"/>
    </row>
    <row r="21" spans="1:7">
      <c r="A21" s="110" t="s">
        <v>512</v>
      </c>
      <c r="B21" s="106"/>
      <c r="C21" s="106"/>
      <c r="D21" s="114">
        <v>5</v>
      </c>
      <c r="E21" s="100"/>
      <c r="F21" s="100"/>
      <c r="G21" s="112"/>
    </row>
    <row r="22" spans="1:7">
      <c r="A22" s="115" t="s">
        <v>394</v>
      </c>
      <c r="B22" s="116"/>
      <c r="C22" s="117" t="s">
        <v>395</v>
      </c>
      <c r="D22" s="111"/>
      <c r="E22" s="118"/>
      <c r="F22" s="40"/>
      <c r="G22" s="44"/>
    </row>
    <row r="23" spans="1:7">
      <c r="A23" s="119" t="s">
        <v>378</v>
      </c>
      <c r="B23" s="116"/>
      <c r="C23" s="111">
        <f ca="1">inputPrYr!C19</f>
        <v>0</v>
      </c>
      <c r="D23" s="120">
        <v>6</v>
      </c>
      <c r="E23" s="558">
        <f ca="1">IF(gen!$E$61&lt;&gt;0,gen!$E$61,"  ")</f>
        <v>47562</v>
      </c>
      <c r="F23" s="558">
        <f ca="1">IF(gen!$E$68&lt;&gt;0,gen!$E$68,"  ")</f>
        <v>37325.489999999991</v>
      </c>
      <c r="G23" s="559" t="str">
        <f ca="1">IF(AND(gen!E68=0,$G$32&gt;=0)," ",IF(AND(F23&gt;0,$G$32=0)," ",IF(AND(F23&gt;0,$G$32&gt;0),ROUND(F23/$G$32*1000,3))))</f>
        <v xml:space="preserve"> </v>
      </c>
    </row>
    <row r="24" spans="1:7">
      <c r="A24" s="119" t="s">
        <v>639</v>
      </c>
      <c r="B24" s="116"/>
      <c r="C24" s="111" t="s">
        <v>525</v>
      </c>
      <c r="D24" s="120" t="str">
        <f ca="1">IF(DebtService!C62&gt;0,DebtService!C62," ")</f>
        <v xml:space="preserve"> </v>
      </c>
      <c r="E24" s="243" t="str">
        <f ca="1">IF(DebtService!$E$53&lt;&gt;0,DebtService!$E$53,"  ")</f>
        <v xml:space="preserve">  </v>
      </c>
      <c r="F24" s="243" t="str">
        <f ca="1">IF(DebtService!$E$60&lt;&gt;0,DebtService!$E$60,"  ")</f>
        <v xml:space="preserve">  </v>
      </c>
      <c r="G24" s="559" t="str">
        <f ca="1">IF(AND(DebtService!E60=0,$G$32&gt;=0)," ",IF(AND(F24&gt;0,$G$32=0)," ",IF(AND(F24&gt;0,$G$32&gt;0),ROUND(F24/$G$32*1000,3))))</f>
        <v xml:space="preserve"> </v>
      </c>
    </row>
    <row r="25" spans="1:7">
      <c r="A25" s="121" t="str">
        <f ca="1">IF(inputPrYr!$B$22&gt;"  ",inputPrYr!$B$22,"  ")</f>
        <v xml:space="preserve">  </v>
      </c>
      <c r="B25" s="116"/>
      <c r="C25" s="111" t="str">
        <f ca="1">IF(inputPrYr!C22&gt;0,inputPrYr!C22,"  ")</f>
        <v xml:space="preserve">  </v>
      </c>
      <c r="D25" s="120" t="str">
        <f ca="1">IF(levypage8!C80&gt;0,levypage8!C80," ")</f>
        <v xml:space="preserve"> </v>
      </c>
      <c r="E25" s="243" t="str">
        <f ca="1">IF(levypage8!$E$33&lt;&gt;0,levypage8!$E$33,"  ")</f>
        <v xml:space="preserve">  </v>
      </c>
      <c r="F25" s="243" t="str">
        <f ca="1">IF(levypage8!$E$40&lt;&gt;0,levypage8!$E$40,"  ")</f>
        <v xml:space="preserve">  </v>
      </c>
      <c r="G25" s="559" t="str">
        <f ca="1">IF(AND(levypage8!E40=0,$G$32&gt;=0)," ",IF(AND(F25&gt;0,$G$32=0)," ",IF(AND(F25&gt;0,$G$32&gt;0),ROUND(F25/$G$32*1000,3))))</f>
        <v xml:space="preserve"> </v>
      </c>
    </row>
    <row r="26" spans="1:7">
      <c r="A26" s="121" t="str">
        <f ca="1">IF(inputPrYr!$B$23&gt;"  ",inputPrYr!$B$23,"  ")</f>
        <v xml:space="preserve">  </v>
      </c>
      <c r="B26" s="116"/>
      <c r="C26" s="111" t="str">
        <f ca="1">IF(inputPrYr!C23&gt;0,inputPrYr!C23,"  ")</f>
        <v xml:space="preserve">  </v>
      </c>
      <c r="D26" s="120" t="str">
        <f ca="1">IF(levypage8!C80&gt;0,levypage8!C80," ")</f>
        <v xml:space="preserve"> </v>
      </c>
      <c r="E26" s="243" t="str">
        <f ca="1">IF(levypage8!$E$71&lt;&gt;0,levypage8!$E$71,"  ")</f>
        <v xml:space="preserve">  </v>
      </c>
      <c r="F26" s="243" t="str">
        <f ca="1">IF(levypage8!$E$78&lt;&gt;0,levypage8!$E$78,"  ")</f>
        <v xml:space="preserve">  </v>
      </c>
      <c r="G26" s="559" t="str">
        <f ca="1">IF(AND(levypage8!E78=0,$G$32&gt;=0)," ",IF(AND(F26&gt;0,$G$32=0)," ",IF(AND(F26&gt;0,$G$32&gt;0),ROUND(F26/$G$32*1000,3))))</f>
        <v xml:space="preserve"> </v>
      </c>
    </row>
    <row r="27" spans="1:7">
      <c r="A27" s="121" t="str">
        <f ca="1">IF(inputPrYr!$B$26&gt;"  ",inputPrYr!$B$26,"  ")</f>
        <v xml:space="preserve">  </v>
      </c>
      <c r="B27" s="67"/>
      <c r="C27" s="122"/>
      <c r="D27" s="120" t="str">
        <f ca="1">IF(nolevypage9!C70&gt;0,nolevypage9!C70," ")</f>
        <v xml:space="preserve"> </v>
      </c>
      <c r="E27" s="243" t="str">
        <f ca="1">IF(nolevypage9!$E$31&lt;&gt;0,nolevypage9!$E$31,"  ")</f>
        <v xml:space="preserve">  </v>
      </c>
      <c r="F27" s="560"/>
      <c r="G27" s="559"/>
    </row>
    <row r="28" spans="1:7">
      <c r="A28" s="124" t="str">
        <f ca="1">IF(inputPrYr!$B$27&gt;"  ",inputPrYr!$B$27,"  ")</f>
        <v xml:space="preserve">  </v>
      </c>
      <c r="B28" s="125"/>
      <c r="C28" s="122"/>
      <c r="D28" s="120" t="str">
        <f ca="1">IF(nolevypage9!C70&gt;0,nolevypage9!C70," ")</f>
        <v xml:space="preserve"> </v>
      </c>
      <c r="E28" s="243" t="str">
        <f ca="1">IF(nolevypage9!$E$64&lt;&gt;0,nolevypage9!$E$64,"  ")</f>
        <v xml:space="preserve">  </v>
      </c>
      <c r="F28" s="560"/>
      <c r="G28" s="559"/>
    </row>
    <row r="29" spans="1:7">
      <c r="A29" s="124" t="str">
        <f ca="1">IF((inputPrYr!$B$30&gt;" "),(NonBud!$A$3),"")</f>
        <v/>
      </c>
      <c r="B29" s="125"/>
      <c r="C29" s="103"/>
      <c r="D29" s="120" t="str">
        <f ca="1">IF(NonBud!F33&gt;0,NonBud!F33,"")</f>
        <v/>
      </c>
      <c r="E29" s="561"/>
      <c r="F29" s="562"/>
      <c r="G29" s="563"/>
    </row>
    <row r="30" spans="1:7">
      <c r="A30" s="127" t="s">
        <v>502</v>
      </c>
      <c r="B30" s="67"/>
      <c r="C30" s="116"/>
      <c r="D30" s="128" t="s">
        <v>396</v>
      </c>
      <c r="E30" s="564">
        <f>SUM(E23:E28)</f>
        <v>47562</v>
      </c>
      <c r="F30" s="565">
        <f>SUM(F23:F28)</f>
        <v>37325.489999999991</v>
      </c>
      <c r="G30" s="566" t="str">
        <f>IF(SUM(G23:G28)=0,"",SUM(G23:G28))</f>
        <v/>
      </c>
    </row>
    <row r="31" spans="1:7">
      <c r="A31" s="119" t="s">
        <v>572</v>
      </c>
      <c r="B31" s="67"/>
      <c r="C31" s="116"/>
      <c r="D31" s="131">
        <f ca="1">summ!E41</f>
        <v>0</v>
      </c>
      <c r="E31" s="135" t="s">
        <v>567</v>
      </c>
      <c r="F31" s="383" t="str">
        <f ca="1">IF(F30&gt;computation!J34,"Yes","No")</f>
        <v>Yes</v>
      </c>
      <c r="G31" s="384" t="s">
        <v>504</v>
      </c>
    </row>
    <row r="32" spans="1:7">
      <c r="A32" s="119" t="s">
        <v>587</v>
      </c>
      <c r="B32" s="133"/>
      <c r="C32" s="134"/>
      <c r="D32" s="131" t="str">
        <f ca="1">IF(Nhood!C35=0,"",Nhood!C35)</f>
        <v/>
      </c>
      <c r="E32" s="382"/>
      <c r="F32" s="69"/>
      <c r="G32" s="140"/>
    </row>
    <row r="33" spans="1:7">
      <c r="A33" s="136" t="s">
        <v>566</v>
      </c>
      <c r="B33" s="67"/>
      <c r="C33" s="116"/>
      <c r="D33" s="131" t="str">
        <f ca="1">IF(Resolution!E45=0,"",Resolution!E45)</f>
        <v/>
      </c>
      <c r="E33" s="60"/>
      <c r="F33" s="69"/>
      <c r="G33" s="666" t="str">
        <f>CONCATENATE("Nov. 1, ",G3-1," Total Assessed Valuation")</f>
        <v>Nov. 1, 2013 Total Assessed Valuation</v>
      </c>
    </row>
    <row r="34" spans="1:7">
      <c r="A34" s="20"/>
      <c r="B34" s="69"/>
      <c r="C34" s="18"/>
      <c r="D34" s="137"/>
      <c r="E34" s="60"/>
      <c r="F34" s="69"/>
      <c r="G34" s="667"/>
    </row>
    <row r="35" spans="1:7">
      <c r="A35" s="17" t="s">
        <v>105</v>
      </c>
      <c r="B35" s="69"/>
      <c r="C35" s="69"/>
      <c r="D35" s="69"/>
      <c r="E35" s="132"/>
      <c r="F35" s="69"/>
      <c r="G35" s="18"/>
    </row>
    <row r="36" spans="1:7">
      <c r="A36" s="520"/>
      <c r="B36" s="520"/>
      <c r="C36" s="69"/>
      <c r="D36" s="69"/>
      <c r="E36" s="139"/>
      <c r="F36" s="69"/>
      <c r="G36" s="18"/>
    </row>
    <row r="37" spans="1:7">
      <c r="A37" s="521"/>
      <c r="B37" s="521"/>
      <c r="C37" s="69"/>
      <c r="D37" s="69"/>
      <c r="E37" s="391"/>
      <c r="F37" s="69"/>
      <c r="G37" s="69"/>
    </row>
    <row r="38" spans="1:7">
      <c r="A38" s="20" t="s">
        <v>106</v>
      </c>
      <c r="B38" s="69"/>
      <c r="C38" s="69"/>
      <c r="D38" s="69"/>
      <c r="E38" s="553"/>
      <c r="F38" s="69"/>
      <c r="G38" s="69"/>
    </row>
    <row r="39" spans="1:7">
      <c r="A39" s="520"/>
      <c r="B39" s="520"/>
      <c r="C39" s="69"/>
      <c r="D39" s="69" t="s">
        <v>271</v>
      </c>
      <c r="E39" s="554"/>
      <c r="F39" s="554"/>
      <c r="G39" s="69"/>
    </row>
    <row r="40" spans="1:7">
      <c r="A40" s="521"/>
      <c r="B40" s="521"/>
      <c r="C40" s="52"/>
      <c r="D40" s="69"/>
      <c r="E40" s="554"/>
      <c r="F40" s="554"/>
      <c r="G40" s="69"/>
    </row>
    <row r="41" spans="1:7">
      <c r="A41" s="20" t="s">
        <v>270</v>
      </c>
      <c r="B41" s="69"/>
      <c r="C41" s="18"/>
      <c r="D41" s="69" t="s">
        <v>271</v>
      </c>
      <c r="E41" s="555"/>
      <c r="F41" s="69"/>
      <c r="G41" s="69"/>
    </row>
    <row r="42" spans="1:7">
      <c r="A42" s="521"/>
      <c r="B42" s="521"/>
      <c r="C42" s="17"/>
      <c r="D42" s="21"/>
      <c r="E42" s="141"/>
      <c r="F42" s="69"/>
      <c r="G42" s="69"/>
    </row>
    <row r="43" spans="1:7">
      <c r="A43" s="20"/>
      <c r="B43" s="69"/>
      <c r="C43" s="69"/>
      <c r="D43" s="69" t="s">
        <v>271</v>
      </c>
      <c r="E43" s="141"/>
      <c r="F43" s="556"/>
      <c r="G43" s="556"/>
    </row>
    <row r="44" spans="1:7">
      <c r="A44" s="20"/>
      <c r="B44" s="100"/>
      <c r="C44" s="69"/>
      <c r="D44" s="141"/>
      <c r="E44" s="141"/>
      <c r="F44" s="141"/>
      <c r="G44" s="141"/>
    </row>
    <row r="45" spans="1:7">
      <c r="A45" s="20"/>
      <c r="B45" s="69"/>
      <c r="C45" s="69"/>
      <c r="D45" s="69" t="s">
        <v>271</v>
      </c>
      <c r="E45" s="141"/>
      <c r="F45" s="556"/>
      <c r="G45" s="556"/>
    </row>
    <row r="46" spans="1:7">
      <c r="A46" s="69"/>
      <c r="B46" s="69"/>
      <c r="C46" s="69"/>
      <c r="D46" s="141"/>
      <c r="E46" s="141"/>
      <c r="F46" s="141"/>
      <c r="G46" s="141"/>
    </row>
    <row r="47" spans="1:7">
      <c r="A47" s="17" t="s">
        <v>564</v>
      </c>
      <c r="B47" s="18"/>
      <c r="C47" s="17">
        <f>G3-1</f>
        <v>2013</v>
      </c>
      <c r="D47" s="69" t="s">
        <v>271</v>
      </c>
      <c r="E47" s="69"/>
      <c r="F47" s="556"/>
      <c r="G47" s="556"/>
    </row>
    <row r="48" spans="1:7">
      <c r="A48" s="141"/>
      <c r="B48" s="69"/>
      <c r="C48" s="17"/>
      <c r="D48" s="69"/>
      <c r="E48" s="69"/>
      <c r="F48" s="557"/>
      <c r="G48" s="557"/>
    </row>
    <row r="49" spans="1:7">
      <c r="A49" s="668"/>
      <c r="B49" s="669"/>
      <c r="C49" s="18"/>
      <c r="D49" s="69" t="s">
        <v>271</v>
      </c>
      <c r="E49" s="69"/>
      <c r="F49" s="69"/>
      <c r="G49" s="69"/>
    </row>
    <row r="50" spans="1:7">
      <c r="A50" s="24" t="s">
        <v>398</v>
      </c>
      <c r="B50" s="24"/>
      <c r="C50" s="18"/>
      <c r="D50" s="670" t="s">
        <v>397</v>
      </c>
      <c r="E50" s="671"/>
      <c r="F50" s="671"/>
      <c r="G50" s="671"/>
    </row>
    <row r="51" spans="1:7">
      <c r="A51" s="657"/>
      <c r="B51" s="657"/>
      <c r="C51" s="657"/>
      <c r="D51" s="657"/>
      <c r="E51" s="657"/>
      <c r="F51" s="657"/>
      <c r="G51" s="657"/>
    </row>
    <row r="52" spans="1:7">
      <c r="A52" s="658"/>
      <c r="B52" s="658"/>
      <c r="C52" s="658"/>
      <c r="D52" s="658"/>
      <c r="E52" s="658"/>
      <c r="F52" s="658"/>
      <c r="G52" s="658"/>
    </row>
    <row r="53" spans="1:7">
      <c r="A53" s="16"/>
      <c r="B53" s="16"/>
      <c r="C53" s="16"/>
      <c r="D53" s="16"/>
      <c r="E53" s="16"/>
      <c r="F53" s="16"/>
      <c r="G53" s="659"/>
    </row>
    <row r="54" spans="1:7">
      <c r="A54" s="16"/>
      <c r="B54" s="16"/>
      <c r="C54" s="16"/>
      <c r="D54" s="16"/>
      <c r="E54" s="16"/>
      <c r="F54" s="16"/>
      <c r="G54" s="659"/>
    </row>
    <row r="55" spans="1:7">
      <c r="A55" s="16"/>
      <c r="B55" s="16"/>
      <c r="C55" s="16"/>
      <c r="D55" s="16"/>
      <c r="E55" s="16"/>
      <c r="F55" s="16"/>
      <c r="G55" s="659"/>
    </row>
    <row r="56" spans="1:7">
      <c r="A56" s="16"/>
      <c r="B56" s="16"/>
      <c r="C56" s="16"/>
      <c r="D56" s="16"/>
      <c r="E56" s="16"/>
      <c r="F56" s="16"/>
      <c r="G56" s="659"/>
    </row>
    <row r="57" spans="1:7">
      <c r="A57" s="16"/>
      <c r="B57" s="16"/>
      <c r="C57" s="16"/>
      <c r="D57" s="142"/>
      <c r="E57" s="16"/>
      <c r="F57" s="16"/>
      <c r="G57" s="659"/>
    </row>
    <row r="58" spans="1:7">
      <c r="G58" s="659"/>
    </row>
    <row r="59" spans="1:7">
      <c r="G59" s="659"/>
    </row>
    <row r="60" spans="1:7">
      <c r="G60" s="659"/>
    </row>
    <row r="61" spans="1:7">
      <c r="G61" s="659"/>
    </row>
    <row r="62" spans="1:7">
      <c r="G62" s="659"/>
    </row>
    <row r="63" spans="1:7">
      <c r="G63" s="659"/>
    </row>
    <row r="64" spans="1:7">
      <c r="G64" s="659"/>
    </row>
    <row r="65" spans="7:7">
      <c r="G65" s="659"/>
    </row>
  </sheetData>
  <mergeCells count="16">
    <mergeCell ref="G53:G65"/>
    <mergeCell ref="A2:G2"/>
    <mergeCell ref="A4:G4"/>
    <mergeCell ref="A6:G6"/>
    <mergeCell ref="E13:G13"/>
    <mergeCell ref="F15:F16"/>
    <mergeCell ref="G33:G34"/>
    <mergeCell ref="A49:B49"/>
    <mergeCell ref="D50:G50"/>
    <mergeCell ref="G51:G52"/>
    <mergeCell ref="E51:E52"/>
    <mergeCell ref="F51:F52"/>
    <mergeCell ref="A51:A52"/>
    <mergeCell ref="B51:B52"/>
    <mergeCell ref="C51:C52"/>
    <mergeCell ref="D51:D52"/>
  </mergeCells>
  <phoneticPr fontId="0" type="noConversion"/>
  <pageMargins left="1.25" right="0.5" top="0" bottom="0.5" header="0" footer="0.5"/>
  <pageSetup scale="74" orientation="portrait" blackAndWhite="1" horizontalDpi="120" verticalDpi="144" r:id="rId1"/>
  <headerFooter alignWithMargins="0">
    <oddHeader xml:space="preserve">&amp;RState of Kansas
Special District
</oddHeader>
    <oddFooter>&amp;CPage No. 1</oddFooter>
  </headerFooter>
</worksheet>
</file>

<file path=xl/worksheets/sheet6.xml><?xml version="1.0" encoding="utf-8"?>
<worksheet xmlns="http://schemas.openxmlformats.org/spreadsheetml/2006/main" xmlns:r="http://schemas.openxmlformats.org/officeDocument/2006/relationships">
  <sheetPr>
    <pageSetUpPr fitToPage="1"/>
  </sheetPr>
  <dimension ref="A1:J37"/>
  <sheetViews>
    <sheetView topLeftCell="A8" zoomScale="85" workbookViewId="0">
      <selection activeCell="E22" sqref="E22"/>
    </sheetView>
  </sheetViews>
  <sheetFormatPr defaultRowHeight="15.95" customHeight="1"/>
  <cols>
    <col min="1" max="2" width="3.33203125" style="143" customWidth="1"/>
    <col min="3" max="3" width="31.33203125" style="143" customWidth="1"/>
    <col min="4" max="4" width="2.33203125" style="143" customWidth="1"/>
    <col min="5" max="5" width="15.77734375" style="143" customWidth="1"/>
    <col min="6" max="6" width="2" style="143" customWidth="1"/>
    <col min="7" max="7" width="15.77734375" style="143" customWidth="1"/>
    <col min="8" max="8" width="1.88671875" style="143" customWidth="1"/>
    <col min="9" max="9" width="1.77734375" style="143" customWidth="1"/>
    <col min="10" max="10" width="15.77734375" style="143" customWidth="1"/>
    <col min="11" max="16384" width="8.88671875" style="143"/>
  </cols>
  <sheetData>
    <row r="1" spans="1:10" ht="15.95" customHeight="1">
      <c r="A1" s="18"/>
      <c r="B1" s="18"/>
      <c r="C1" s="18" t="str">
        <f ca="1">inputPrYr!D3</f>
        <v>Crowm Hill Cemetery</v>
      </c>
      <c r="D1" s="18"/>
      <c r="E1" s="18"/>
      <c r="F1" s="18"/>
      <c r="G1" s="18"/>
      <c r="H1" s="18"/>
      <c r="I1" s="18"/>
      <c r="J1" s="18">
        <f ca="1">inputPrYr!D6</f>
        <v>2014</v>
      </c>
    </row>
    <row r="2" spans="1:10" ht="15.95" customHeight="1">
      <c r="A2" s="18"/>
      <c r="B2" s="18"/>
      <c r="C2" s="18" t="str">
        <f ca="1">inputPrYr!D4</f>
        <v xml:space="preserve">Comanche County </v>
      </c>
      <c r="D2" s="18"/>
      <c r="E2" s="18"/>
      <c r="F2" s="18"/>
      <c r="G2" s="18"/>
      <c r="H2" s="18"/>
      <c r="I2" s="18"/>
      <c r="J2" s="18"/>
    </row>
    <row r="3" spans="1:10" ht="15.75">
      <c r="A3" s="643" t="str">
        <f>CONCATENATE("Computation to Determine Limit for ",J1,"")</f>
        <v>Computation to Determine Limit for 2014</v>
      </c>
      <c r="B3" s="660"/>
      <c r="C3" s="660"/>
      <c r="D3" s="660"/>
      <c r="E3" s="660"/>
      <c r="F3" s="660"/>
      <c r="G3" s="660"/>
      <c r="H3" s="660"/>
      <c r="I3" s="660"/>
      <c r="J3" s="660"/>
    </row>
    <row r="4" spans="1:10" ht="15.75">
      <c r="A4" s="18"/>
      <c r="B4" s="18"/>
      <c r="C4" s="18"/>
      <c r="D4" s="18"/>
      <c r="E4" s="660"/>
      <c r="F4" s="660"/>
      <c r="G4" s="660"/>
      <c r="H4" s="96"/>
      <c r="I4" s="18"/>
      <c r="J4" s="144" t="s">
        <v>458</v>
      </c>
    </row>
    <row r="5" spans="1:10" ht="15.75">
      <c r="A5" s="145" t="s">
        <v>459</v>
      </c>
      <c r="B5" s="18" t="str">
        <f>CONCATENATE("Total Tax Levy Amount in ",J1-1," Budget")</f>
        <v>Total Tax Levy Amount in 2013 Budget</v>
      </c>
      <c r="C5" s="18"/>
      <c r="D5" s="18"/>
      <c r="E5" s="37"/>
      <c r="F5" s="37"/>
      <c r="G5" s="37"/>
      <c r="H5" s="146" t="s">
        <v>460</v>
      </c>
      <c r="I5" s="37" t="s">
        <v>461</v>
      </c>
      <c r="J5" s="361">
        <f ca="1">inputPrYr!E24</f>
        <v>36193</v>
      </c>
    </row>
    <row r="6" spans="1:10" ht="15.75">
      <c r="A6" s="145" t="s">
        <v>462</v>
      </c>
      <c r="B6" s="18" t="str">
        <f>CONCATENATE("Debt Service Levy in ",J1-1," Budget")</f>
        <v>Debt Service Levy in 2013 Budget</v>
      </c>
      <c r="C6" s="18"/>
      <c r="D6" s="18"/>
      <c r="E6" s="37"/>
      <c r="F6" s="37"/>
      <c r="G6" s="37"/>
      <c r="H6" s="146" t="s">
        <v>463</v>
      </c>
      <c r="I6" s="37" t="s">
        <v>461</v>
      </c>
      <c r="J6" s="147">
        <f ca="1">inputPrYr!E20</f>
        <v>0</v>
      </c>
    </row>
    <row r="7" spans="1:10" ht="15.75">
      <c r="A7" s="145" t="s">
        <v>487</v>
      </c>
      <c r="B7" s="25" t="s">
        <v>481</v>
      </c>
      <c r="C7" s="18"/>
      <c r="D7" s="18"/>
      <c r="E7" s="37"/>
      <c r="F7" s="37"/>
      <c r="G7" s="37"/>
      <c r="H7" s="37"/>
      <c r="I7" s="37" t="s">
        <v>461</v>
      </c>
      <c r="J7" s="41">
        <f>J5-J6</f>
        <v>36193</v>
      </c>
    </row>
    <row r="8" spans="1:10" ht="15.75">
      <c r="A8" s="18"/>
      <c r="B8" s="18"/>
      <c r="C8" s="18"/>
      <c r="D8" s="18"/>
      <c r="E8" s="37"/>
      <c r="F8" s="37"/>
      <c r="G8" s="37"/>
      <c r="H8" s="37"/>
      <c r="I8" s="37"/>
      <c r="J8" s="37"/>
    </row>
    <row r="9" spans="1:10" ht="15.75">
      <c r="A9" s="18"/>
      <c r="B9" s="25" t="str">
        <f>CONCATENATE("",J1-1," Valuation Information for Valuation Adjustments:")</f>
        <v>2013 Valuation Information for Valuation Adjustments:</v>
      </c>
      <c r="C9" s="18"/>
      <c r="D9" s="18"/>
      <c r="E9" s="37"/>
      <c r="F9" s="37"/>
      <c r="G9" s="37"/>
      <c r="H9" s="37"/>
      <c r="I9" s="37"/>
      <c r="J9" s="37"/>
    </row>
    <row r="10" spans="1:10" ht="15.75">
      <c r="A10" s="18"/>
      <c r="B10" s="18"/>
      <c r="C10" s="25"/>
      <c r="D10" s="18"/>
      <c r="E10" s="37"/>
      <c r="F10" s="37"/>
      <c r="G10" s="37"/>
      <c r="H10" s="37"/>
      <c r="I10" s="37"/>
      <c r="J10" s="37"/>
    </row>
    <row r="11" spans="1:10" ht="15.75">
      <c r="A11" s="145" t="s">
        <v>464</v>
      </c>
      <c r="B11" s="25" t="str">
        <f>CONCATENATE("New Improvements for ",J1-1,":")</f>
        <v>New Improvements for 2013:</v>
      </c>
      <c r="C11" s="18"/>
      <c r="D11" s="18"/>
      <c r="E11" s="146"/>
      <c r="F11" s="146" t="s">
        <v>460</v>
      </c>
      <c r="G11" s="148">
        <f ca="1">inputOth!E8</f>
        <v>127278</v>
      </c>
      <c r="H11" s="149"/>
      <c r="I11" s="37"/>
      <c r="J11" s="37"/>
    </row>
    <row r="12" spans="1:10" ht="15.75">
      <c r="A12" s="145"/>
      <c r="B12" s="145"/>
      <c r="C12" s="18"/>
      <c r="D12" s="18"/>
      <c r="E12" s="146"/>
      <c r="F12" s="146"/>
      <c r="G12" s="149"/>
      <c r="H12" s="149"/>
      <c r="I12" s="37"/>
      <c r="J12" s="37"/>
    </row>
    <row r="13" spans="1:10" ht="15.75">
      <c r="A13" s="145" t="s">
        <v>465</v>
      </c>
      <c r="B13" s="25" t="str">
        <f>CONCATENATE("Increase in Personal Property for ",J1-1,":")</f>
        <v>Increase in Personal Property for 2013:</v>
      </c>
      <c r="C13" s="18"/>
      <c r="D13" s="18"/>
      <c r="E13" s="146"/>
      <c r="F13" s="146"/>
      <c r="G13" s="149"/>
      <c r="H13" s="149"/>
      <c r="I13" s="37"/>
      <c r="J13" s="37"/>
    </row>
    <row r="14" spans="1:10" ht="15.75">
      <c r="A14" s="18"/>
      <c r="B14" s="18" t="s">
        <v>466</v>
      </c>
      <c r="C14" s="18" t="str">
        <f>CONCATENATE("Personal Property ",J1-1,"")</f>
        <v>Personal Property 2013</v>
      </c>
      <c r="D14" s="145" t="s">
        <v>460</v>
      </c>
      <c r="E14" s="148">
        <f ca="1">inputOth!E9</f>
        <v>412427</v>
      </c>
      <c r="F14" s="146"/>
      <c r="G14" s="37"/>
      <c r="H14" s="37"/>
      <c r="I14" s="149"/>
      <c r="J14" s="37"/>
    </row>
    <row r="15" spans="1:10" ht="15.75">
      <c r="A15" s="145"/>
      <c r="B15" s="18" t="s">
        <v>467</v>
      </c>
      <c r="C15" s="18" t="str">
        <f>CONCATENATE("Personal Property ",J1-2,"")</f>
        <v>Personal Property 2012</v>
      </c>
      <c r="D15" s="145" t="s">
        <v>463</v>
      </c>
      <c r="E15" s="41">
        <f ca="1">inputOth!E11</f>
        <v>330344</v>
      </c>
      <c r="F15" s="146"/>
      <c r="G15" s="149"/>
      <c r="H15" s="149"/>
      <c r="I15" s="37"/>
      <c r="J15" s="37"/>
    </row>
    <row r="16" spans="1:10" ht="15.75">
      <c r="A16" s="145"/>
      <c r="B16" s="18" t="s">
        <v>468</v>
      </c>
      <c r="C16" s="18" t="s">
        <v>482</v>
      </c>
      <c r="D16" s="18"/>
      <c r="E16" s="37"/>
      <c r="F16" s="37" t="s">
        <v>460</v>
      </c>
      <c r="G16" s="148">
        <f>IF(E14&gt;E15,E14-E15,0)</f>
        <v>82083</v>
      </c>
      <c r="H16" s="149"/>
      <c r="I16" s="37"/>
      <c r="J16" s="37"/>
    </row>
    <row r="17" spans="1:10" ht="15.75">
      <c r="A17" s="145"/>
      <c r="B17" s="145"/>
      <c r="C17" s="18"/>
      <c r="D17" s="18"/>
      <c r="E17" s="37"/>
      <c r="F17" s="37"/>
      <c r="G17" s="149" t="s">
        <v>476</v>
      </c>
      <c r="H17" s="149"/>
      <c r="I17" s="37"/>
      <c r="J17" s="37"/>
    </row>
    <row r="18" spans="1:10" ht="15.75">
      <c r="A18" s="145" t="s">
        <v>469</v>
      </c>
      <c r="B18" s="25" t="str">
        <f>CONCATENATE("Valuation of Property that has Changed in Use during ",J1-1,":")</f>
        <v>Valuation of Property that has Changed in Use during 2013:</v>
      </c>
      <c r="C18" s="18"/>
      <c r="D18" s="145"/>
      <c r="E18" s="37"/>
      <c r="F18" s="37"/>
      <c r="G18" s="37">
        <f ca="1">inputOth!E10</f>
        <v>95269</v>
      </c>
      <c r="H18" s="37"/>
      <c r="I18" s="37"/>
      <c r="J18" s="37"/>
    </row>
    <row r="19" spans="1:10" ht="15.75">
      <c r="A19" s="18" t="s">
        <v>386</v>
      </c>
      <c r="B19" s="18"/>
      <c r="C19" s="18"/>
      <c r="D19" s="18"/>
      <c r="E19" s="149"/>
      <c r="F19" s="37"/>
      <c r="G19" s="150"/>
      <c r="H19" s="149"/>
      <c r="I19" s="37"/>
      <c r="J19" s="37"/>
    </row>
    <row r="20" spans="1:10" ht="15.75">
      <c r="A20" s="145" t="s">
        <v>470</v>
      </c>
      <c r="B20" s="25" t="s">
        <v>483</v>
      </c>
      <c r="C20" s="18"/>
      <c r="D20" s="145"/>
      <c r="E20" s="37"/>
      <c r="F20" s="37"/>
      <c r="G20" s="148">
        <f>G11+G16+G18</f>
        <v>304630</v>
      </c>
      <c r="H20" s="149"/>
      <c r="I20" s="37"/>
      <c r="J20" s="37"/>
    </row>
    <row r="21" spans="1:10" ht="15.75">
      <c r="A21" s="145"/>
      <c r="B21" s="145"/>
      <c r="C21" s="25"/>
      <c r="D21" s="18"/>
      <c r="E21" s="37"/>
      <c r="F21" s="37"/>
      <c r="G21" s="149"/>
      <c r="H21" s="149"/>
      <c r="I21" s="37"/>
      <c r="J21" s="37"/>
    </row>
    <row r="22" spans="1:10" ht="15.75">
      <c r="A22" s="145" t="s">
        <v>471</v>
      </c>
      <c r="B22" s="18" t="str">
        <f>CONCATENATE("Total Estimated Valuation July, 1,",J1-1,"")</f>
        <v>Total Estimated Valuation July, 1,2013</v>
      </c>
      <c r="C22" s="18"/>
      <c r="D22" s="18"/>
      <c r="E22" s="148">
        <f ca="1">inputOth!E7</f>
        <v>45043731</v>
      </c>
      <c r="F22" s="37"/>
      <c r="G22" s="37"/>
      <c r="H22" s="37"/>
      <c r="I22" s="146"/>
      <c r="J22" s="37"/>
    </row>
    <row r="23" spans="1:10" ht="15.75">
      <c r="A23" s="145"/>
      <c r="B23" s="145"/>
      <c r="C23" s="18"/>
      <c r="D23" s="18"/>
      <c r="E23" s="149"/>
      <c r="F23" s="37"/>
      <c r="G23" s="37"/>
      <c r="H23" s="37"/>
      <c r="I23" s="146"/>
      <c r="J23" s="37"/>
    </row>
    <row r="24" spans="1:10" ht="15.75">
      <c r="A24" s="145" t="s">
        <v>472</v>
      </c>
      <c r="B24" s="25" t="s">
        <v>484</v>
      </c>
      <c r="C24" s="18"/>
      <c r="D24" s="18"/>
      <c r="E24" s="37"/>
      <c r="F24" s="37"/>
      <c r="G24" s="148">
        <f>E22-G20</f>
        <v>44739101</v>
      </c>
      <c r="H24" s="149"/>
      <c r="I24" s="146"/>
      <c r="J24" s="37"/>
    </row>
    <row r="25" spans="1:10" ht="15.75">
      <c r="A25" s="145"/>
      <c r="B25" s="145"/>
      <c r="C25" s="25"/>
      <c r="D25" s="18"/>
      <c r="E25" s="37"/>
      <c r="F25" s="37"/>
      <c r="G25" s="150"/>
      <c r="H25" s="149"/>
      <c r="I25" s="146"/>
      <c r="J25" s="37"/>
    </row>
    <row r="26" spans="1:10" ht="15.75">
      <c r="A26" s="145" t="s">
        <v>473</v>
      </c>
      <c r="B26" s="18" t="s">
        <v>485</v>
      </c>
      <c r="C26" s="18"/>
      <c r="D26" s="18"/>
      <c r="E26" s="18"/>
      <c r="F26" s="18"/>
      <c r="G26" s="151">
        <f>IF(G20&gt;0,G20/G24,0)</f>
        <v>6.8090326625025385E-3</v>
      </c>
      <c r="H26" s="69"/>
      <c r="I26" s="18"/>
      <c r="J26" s="18"/>
    </row>
    <row r="27" spans="1:10" ht="15.75">
      <c r="A27" s="145"/>
      <c r="B27" s="145"/>
      <c r="C27" s="18"/>
      <c r="D27" s="18"/>
      <c r="E27" s="18"/>
      <c r="F27" s="18"/>
      <c r="G27" s="69"/>
      <c r="H27" s="69"/>
      <c r="I27" s="18"/>
      <c r="J27" s="18"/>
    </row>
    <row r="28" spans="1:10" ht="15.75">
      <c r="A28" s="145" t="s">
        <v>474</v>
      </c>
      <c r="B28" s="18" t="s">
        <v>486</v>
      </c>
      <c r="C28" s="18"/>
      <c r="D28" s="18"/>
      <c r="E28" s="18"/>
      <c r="F28" s="18"/>
      <c r="G28" s="69"/>
      <c r="H28" s="152" t="s">
        <v>460</v>
      </c>
      <c r="I28" s="18" t="s">
        <v>461</v>
      </c>
      <c r="J28" s="148">
        <f>ROUND(G26*J7,0)</f>
        <v>246</v>
      </c>
    </row>
    <row r="29" spans="1:10" ht="15.75">
      <c r="A29" s="145"/>
      <c r="B29" s="145"/>
      <c r="C29" s="18"/>
      <c r="D29" s="18"/>
      <c r="E29" s="18"/>
      <c r="F29" s="18"/>
      <c r="G29" s="69"/>
      <c r="H29" s="152"/>
      <c r="I29" s="18"/>
      <c r="J29" s="149"/>
    </row>
    <row r="30" spans="1:10" ht="16.5" thickBot="1">
      <c r="A30" s="145" t="s">
        <v>475</v>
      </c>
      <c r="B30" s="25" t="s">
        <v>491</v>
      </c>
      <c r="C30" s="18"/>
      <c r="D30" s="18"/>
      <c r="E30" s="18"/>
      <c r="F30" s="18"/>
      <c r="G30" s="18"/>
      <c r="H30" s="18"/>
      <c r="I30" s="18" t="s">
        <v>461</v>
      </c>
      <c r="J30" s="153">
        <f>J7+J28</f>
        <v>36439</v>
      </c>
    </row>
    <row r="31" spans="1:10" ht="16.5" thickTop="1">
      <c r="A31" s="145"/>
      <c r="B31" s="25"/>
      <c r="C31" s="18"/>
      <c r="D31" s="18"/>
      <c r="E31" s="18"/>
      <c r="F31" s="18"/>
      <c r="G31" s="18"/>
      <c r="H31" s="18"/>
      <c r="I31" s="18"/>
      <c r="J31" s="18"/>
    </row>
    <row r="32" spans="1:10" ht="15.75">
      <c r="A32" s="145" t="s">
        <v>489</v>
      </c>
      <c r="B32" s="25" t="str">
        <f>CONCATENATE("Debt Service Levy in this ",J1," Budget")</f>
        <v>Debt Service Levy in this 2014 Budget</v>
      </c>
      <c r="C32" s="18"/>
      <c r="D32" s="18"/>
      <c r="E32" s="18"/>
      <c r="F32" s="18"/>
      <c r="G32" s="18"/>
      <c r="H32" s="18"/>
      <c r="I32" s="18"/>
      <c r="J32" s="154">
        <f ca="1">DebtService!E60</f>
        <v>0</v>
      </c>
    </row>
    <row r="33" spans="1:10" ht="15.75">
      <c r="A33" s="145"/>
      <c r="B33" s="25"/>
      <c r="C33" s="18"/>
      <c r="D33" s="18"/>
      <c r="E33" s="18"/>
      <c r="F33" s="18"/>
      <c r="G33" s="18"/>
      <c r="H33" s="18"/>
      <c r="I33" s="18"/>
      <c r="J33" s="69"/>
    </row>
    <row r="34" spans="1:10" ht="16.5" thickBot="1">
      <c r="A34" s="145" t="s">
        <v>490</v>
      </c>
      <c r="B34" s="25" t="s">
        <v>492</v>
      </c>
      <c r="C34" s="18"/>
      <c r="D34" s="18"/>
      <c r="E34" s="18"/>
      <c r="F34" s="18"/>
      <c r="G34" s="18"/>
      <c r="H34" s="18"/>
      <c r="I34" s="18"/>
      <c r="J34" s="153">
        <f>J30+J32</f>
        <v>36439</v>
      </c>
    </row>
    <row r="35" spans="1:10" ht="16.5" thickTop="1">
      <c r="A35" s="18"/>
      <c r="B35" s="18"/>
      <c r="C35" s="18"/>
      <c r="D35" s="18"/>
      <c r="E35" s="18"/>
      <c r="F35" s="18"/>
      <c r="G35" s="18"/>
      <c r="H35" s="18"/>
      <c r="I35" s="18"/>
      <c r="J35" s="18"/>
    </row>
    <row r="36" spans="1:10" ht="15.75">
      <c r="A36" s="672" t="str">
        <f>CONCATENATE("If the ",J1," budget includes tax levies exceeding the total on line 14, you must")</f>
        <v>If the 2014 budget includes tax levies exceeding the total on line 14, you must</v>
      </c>
      <c r="B36" s="672"/>
      <c r="C36" s="672"/>
      <c r="D36" s="672"/>
      <c r="E36" s="672"/>
      <c r="F36" s="672"/>
      <c r="G36" s="672"/>
      <c r="H36" s="672"/>
      <c r="I36" s="672"/>
      <c r="J36" s="672"/>
    </row>
    <row r="37" spans="1:10" ht="15.75">
      <c r="A37" s="672" t="s">
        <v>488</v>
      </c>
      <c r="B37" s="672"/>
      <c r="C37" s="672"/>
      <c r="D37" s="672"/>
      <c r="E37" s="672"/>
      <c r="F37" s="672"/>
      <c r="G37" s="672"/>
      <c r="H37" s="672"/>
      <c r="I37" s="672"/>
      <c r="J37" s="672"/>
    </row>
  </sheetData>
  <sheetProtection sheet="1"/>
  <mergeCells count="4">
    <mergeCell ref="A36:J36"/>
    <mergeCell ref="A37:J37"/>
    <mergeCell ref="A3:J3"/>
    <mergeCell ref="E4:G4"/>
  </mergeCells>
  <phoneticPr fontId="0" type="noConversion"/>
  <pageMargins left="0.5" right="0.5" top="0.75" bottom="0.5" header="0.5" footer="0.5"/>
  <pageSetup scale="85" orientation="portrait" blackAndWhite="1" r:id="rId1"/>
  <headerFooter alignWithMargins="0">
    <oddHeader xml:space="preserve">&amp;RState of Kansas
Special District
</oddHeader>
    <oddFooter>&amp;CPage No. 2</oddFooter>
  </headerFooter>
</worksheet>
</file>

<file path=xl/worksheets/sheet7.xml><?xml version="1.0" encoding="utf-8"?>
<worksheet xmlns="http://schemas.openxmlformats.org/spreadsheetml/2006/main" xmlns:r="http://schemas.openxmlformats.org/officeDocument/2006/relationships">
  <sheetPr>
    <pageSetUpPr fitToPage="1"/>
  </sheetPr>
  <dimension ref="A1:J31"/>
  <sheetViews>
    <sheetView topLeftCell="A6" workbookViewId="0">
      <selection activeCell="D10" sqref="D10"/>
    </sheetView>
  </sheetViews>
  <sheetFormatPr defaultRowHeight="15.75"/>
  <cols>
    <col min="1" max="1" width="8.88671875" style="164"/>
    <col min="2" max="2" width="17.77734375" style="16" customWidth="1"/>
    <col min="3" max="3" width="15.77734375" style="16" customWidth="1"/>
    <col min="4" max="4" width="11.77734375" style="16" customWidth="1"/>
    <col min="5" max="5" width="12.33203125" style="16" customWidth="1"/>
    <col min="6" max="6" width="11.77734375" style="16" customWidth="1"/>
    <col min="7" max="10" width="10.77734375" style="16" customWidth="1"/>
    <col min="11" max="16384" width="8.88671875" style="16"/>
  </cols>
  <sheetData>
    <row r="1" spans="1:10">
      <c r="A1" s="18"/>
      <c r="B1" s="18" t="str">
        <f ca="1">inputPrYr!D3</f>
        <v>Crowm Hill Cemetery</v>
      </c>
      <c r="C1" s="18"/>
      <c r="D1" s="18"/>
      <c r="E1" s="18"/>
      <c r="F1" s="18"/>
      <c r="G1" s="18"/>
      <c r="H1" s="18"/>
      <c r="I1" s="155"/>
      <c r="J1" s="18"/>
    </row>
    <row r="2" spans="1:10">
      <c r="A2" s="18"/>
      <c r="B2" s="18" t="str">
        <f ca="1">inputPrYr!D4</f>
        <v xml:space="preserve">Comanche County </v>
      </c>
      <c r="C2" s="18"/>
      <c r="D2" s="18"/>
      <c r="E2" s="18"/>
      <c r="F2" s="18"/>
      <c r="G2" s="18">
        <f ca="1">inputPrYr!D6</f>
        <v>2014</v>
      </c>
      <c r="H2" s="18"/>
      <c r="I2" s="18"/>
      <c r="J2" s="18"/>
    </row>
    <row r="3" spans="1:10">
      <c r="A3" s="18"/>
      <c r="B3" s="18"/>
      <c r="C3" s="156"/>
      <c r="D3" s="156"/>
      <c r="E3" s="156"/>
      <c r="F3" s="156"/>
      <c r="G3" s="156"/>
      <c r="H3" s="156"/>
      <c r="I3" s="156"/>
      <c r="J3" s="18"/>
    </row>
    <row r="4" spans="1:10">
      <c r="A4" s="52"/>
      <c r="B4" s="18"/>
      <c r="C4" s="18"/>
      <c r="D4" s="18"/>
      <c r="E4" s="18"/>
      <c r="F4" s="18"/>
      <c r="G4" s="18"/>
      <c r="H4" s="18"/>
      <c r="I4" s="156"/>
      <c r="J4" s="18"/>
    </row>
    <row r="5" spans="1:10">
      <c r="A5" s="52"/>
      <c r="B5" s="18"/>
      <c r="C5" s="24"/>
      <c r="D5" s="24"/>
      <c r="E5" s="24"/>
      <c r="F5" s="18"/>
      <c r="G5" s="18"/>
      <c r="H5" s="18"/>
      <c r="I5" s="18"/>
      <c r="J5" s="18"/>
    </row>
    <row r="6" spans="1:10">
      <c r="A6" s="52"/>
      <c r="B6" s="673" t="s">
        <v>265</v>
      </c>
      <c r="C6" s="673"/>
      <c r="D6" s="673"/>
      <c r="E6" s="673"/>
      <c r="F6" s="673"/>
      <c r="G6" s="18"/>
      <c r="H6" s="18"/>
      <c r="I6" s="18"/>
      <c r="J6" s="18"/>
    </row>
    <row r="7" spans="1:10">
      <c r="A7" s="52"/>
      <c r="B7" s="157"/>
      <c r="C7" s="157"/>
      <c r="D7" s="157"/>
      <c r="E7" s="157"/>
      <c r="F7" s="157"/>
      <c r="G7" s="18"/>
      <c r="H7" s="18"/>
      <c r="I7" s="18"/>
      <c r="J7" s="18"/>
    </row>
    <row r="8" spans="1:10">
      <c r="A8" s="18"/>
      <c r="B8" s="18"/>
      <c r="C8" s="18"/>
      <c r="D8" s="18"/>
      <c r="E8" s="18"/>
      <c r="F8" s="18"/>
      <c r="G8" s="18"/>
      <c r="H8" s="18"/>
      <c r="I8" s="18"/>
      <c r="J8" s="18"/>
    </row>
    <row r="9" spans="1:10">
      <c r="A9" s="18"/>
      <c r="B9" s="676" t="str">
        <f>CONCATENATE("",G2-1,"                    Budgeted Funds")</f>
        <v>2013                    Budgeted Funds</v>
      </c>
      <c r="C9" s="674" t="str">
        <f>CONCATENATE("Tax Levy Amount in ",G2-2," Budget")</f>
        <v>Tax Levy Amount in 2012 Budget</v>
      </c>
      <c r="D9" s="662" t="str">
        <f>CONCATENATE("Allocation for Year ",G2,"")</f>
        <v>Allocation for Year 2014</v>
      </c>
      <c r="E9" s="677"/>
      <c r="F9" s="678"/>
      <c r="G9" s="18"/>
      <c r="H9" s="18"/>
      <c r="I9" s="18"/>
      <c r="J9" s="18"/>
    </row>
    <row r="10" spans="1:10">
      <c r="A10" s="18"/>
      <c r="B10" s="675"/>
      <c r="C10" s="675"/>
      <c r="D10" s="114" t="s">
        <v>413</v>
      </c>
      <c r="E10" s="114" t="s">
        <v>414</v>
      </c>
      <c r="F10" s="111" t="s">
        <v>455</v>
      </c>
      <c r="G10" s="18"/>
      <c r="H10" s="18"/>
      <c r="I10" s="18"/>
      <c r="J10" s="18"/>
    </row>
    <row r="11" spans="1:10">
      <c r="A11" s="18"/>
      <c r="B11" s="36" t="str">
        <f ca="1">inputPrYr!B19</f>
        <v>General</v>
      </c>
      <c r="C11" s="123">
        <f ca="1">inputPrYr!E19</f>
        <v>36193</v>
      </c>
      <c r="D11" s="123">
        <f>IF(E17=0,0,E17-D12-D13-D14)</f>
        <v>1246.01</v>
      </c>
      <c r="E11" s="123">
        <f>IF(E19=0,0,E19-E12-E13-E14)</f>
        <v>17.399999999999999</v>
      </c>
      <c r="F11" s="123">
        <f>IF(E21=0,0,E21-F12-F13-F14)</f>
        <v>354.36</v>
      </c>
      <c r="G11" s="18"/>
      <c r="H11" s="18"/>
      <c r="I11" s="18"/>
      <c r="J11" s="18"/>
    </row>
    <row r="12" spans="1:10">
      <c r="A12" s="18"/>
      <c r="B12" s="36" t="str">
        <f ca="1">inputPrYr!B20</f>
        <v>Debt Service</v>
      </c>
      <c r="C12" s="123">
        <f ca="1">inputPrYr!E20</f>
        <v>0</v>
      </c>
      <c r="D12" s="123">
        <f>IF($E$17=0,0,ROUND(C12*$C$24,0))</f>
        <v>0</v>
      </c>
      <c r="E12" s="123">
        <f>IF($E$19=0,0,ROUND(C12*$D$26,0))</f>
        <v>0</v>
      </c>
      <c r="F12" s="123">
        <f>IF($E21=0,0,ROUND(C12*$E$28,0))</f>
        <v>0</v>
      </c>
      <c r="G12" s="18"/>
      <c r="H12" s="18"/>
      <c r="I12" s="18"/>
      <c r="J12" s="18"/>
    </row>
    <row r="13" spans="1:10">
      <c r="A13" s="18"/>
      <c r="B13" s="36" t="str">
        <f ca="1">IF(inputPrYr!$B$22&gt;"  ",inputPrYr!$B$22,"  ")</f>
        <v xml:space="preserve">  </v>
      </c>
      <c r="C13" s="123">
        <f ca="1">inputPrYr!E22</f>
        <v>0</v>
      </c>
      <c r="D13" s="123">
        <f>IF($E$17=0,0,ROUND(C13*$C$24,0))</f>
        <v>0</v>
      </c>
      <c r="E13" s="123">
        <f>IF($E$19=0,0,ROUND(C13*$D$26,0))</f>
        <v>0</v>
      </c>
      <c r="F13" s="123">
        <f>IF($E21=0,0,ROUND(C13*$E$28,0))</f>
        <v>0</v>
      </c>
      <c r="G13" s="18"/>
      <c r="H13" s="99"/>
      <c r="I13" s="99"/>
      <c r="J13" s="18"/>
    </row>
    <row r="14" spans="1:10">
      <c r="A14" s="18"/>
      <c r="B14" s="36" t="str">
        <f ca="1">IF(inputPrYr!$B$23&gt;"  ",inputPrYr!$B$23,"  ")</f>
        <v xml:space="preserve">  </v>
      </c>
      <c r="C14" s="123">
        <f ca="1">inputPrYr!E23</f>
        <v>0</v>
      </c>
      <c r="D14" s="123">
        <f>IF($E$17=0,0,ROUND(C14*$C$24,0))</f>
        <v>0</v>
      </c>
      <c r="E14" s="123">
        <f>IF($E$19=0,0,ROUND(C14*$D$26,0))</f>
        <v>0</v>
      </c>
      <c r="F14" s="123">
        <f>IF($E21=0,0,ROUND(C14*$E$28,0))</f>
        <v>0</v>
      </c>
      <c r="G14" s="18"/>
      <c r="H14" s="18"/>
      <c r="I14" s="18"/>
      <c r="J14" s="18"/>
    </row>
    <row r="15" spans="1:10" ht="16.5" thickBot="1">
      <c r="A15" s="18"/>
      <c r="B15" s="33" t="s">
        <v>381</v>
      </c>
      <c r="C15" s="130">
        <f>SUM(C11:C14)</f>
        <v>36193</v>
      </c>
      <c r="D15" s="130">
        <f>SUM(D11:D14)</f>
        <v>1246.01</v>
      </c>
      <c r="E15" s="130">
        <f>SUM(E11:E14)</f>
        <v>17.399999999999999</v>
      </c>
      <c r="F15" s="203">
        <f>SUM(F11:F14)</f>
        <v>354.36</v>
      </c>
      <c r="G15" s="18"/>
      <c r="H15" s="18"/>
      <c r="I15" s="18"/>
      <c r="J15" s="18"/>
    </row>
    <row r="16" spans="1:10" ht="16.5" thickTop="1">
      <c r="A16" s="18"/>
      <c r="B16" s="18"/>
      <c r="C16" s="18"/>
      <c r="D16" s="18"/>
      <c r="E16" s="18"/>
      <c r="F16" s="18"/>
      <c r="G16" s="18"/>
      <c r="H16" s="18"/>
      <c r="I16" s="18"/>
      <c r="J16" s="18"/>
    </row>
    <row r="17" spans="1:10">
      <c r="A17" s="18"/>
      <c r="B17" s="17" t="s">
        <v>415</v>
      </c>
      <c r="C17" s="18"/>
      <c r="D17" s="18"/>
      <c r="E17" s="159">
        <f ca="1">inputOth!E27</f>
        <v>1246.01</v>
      </c>
      <c r="F17" s="18"/>
      <c r="G17" s="18"/>
      <c r="H17" s="18"/>
      <c r="I17" s="18"/>
      <c r="J17" s="18"/>
    </row>
    <row r="18" spans="1:10">
      <c r="A18" s="18"/>
      <c r="B18" s="18"/>
      <c r="C18" s="18"/>
      <c r="D18" s="156"/>
      <c r="E18" s="156"/>
      <c r="F18" s="18"/>
      <c r="G18" s="18"/>
      <c r="H18" s="18"/>
      <c r="I18" s="18"/>
      <c r="J18" s="18"/>
    </row>
    <row r="19" spans="1:10">
      <c r="A19" s="18"/>
      <c r="B19" s="17" t="s">
        <v>416</v>
      </c>
      <c r="C19" s="18"/>
      <c r="D19" s="156"/>
      <c r="E19" s="159">
        <f ca="1">inputOth!E28</f>
        <v>17.399999999999999</v>
      </c>
      <c r="F19" s="18"/>
      <c r="G19" s="18"/>
      <c r="H19" s="18"/>
      <c r="I19" s="18"/>
      <c r="J19" s="18"/>
    </row>
    <row r="20" spans="1:10">
      <c r="A20" s="18"/>
      <c r="B20" s="18"/>
      <c r="C20" s="18"/>
      <c r="D20" s="18"/>
      <c r="E20" s="18"/>
      <c r="F20" s="18"/>
      <c r="G20" s="18"/>
      <c r="H20" s="18"/>
      <c r="I20" s="18"/>
      <c r="J20" s="18"/>
    </row>
    <row r="21" spans="1:10">
      <c r="A21" s="18"/>
      <c r="B21" s="17" t="s">
        <v>456</v>
      </c>
      <c r="C21" s="18"/>
      <c r="D21" s="18"/>
      <c r="E21" s="159">
        <f ca="1">inputOth!E29</f>
        <v>354.36</v>
      </c>
      <c r="F21" s="18"/>
      <c r="G21" s="18"/>
      <c r="H21" s="18"/>
      <c r="I21" s="18"/>
      <c r="J21" s="18"/>
    </row>
    <row r="22" spans="1:10">
      <c r="A22" s="18"/>
      <c r="B22" s="18"/>
      <c r="C22" s="18"/>
      <c r="D22" s="18"/>
      <c r="E22" s="18"/>
      <c r="F22" s="18"/>
      <c r="G22" s="18"/>
      <c r="H22" s="18"/>
      <c r="I22" s="18"/>
      <c r="J22" s="18"/>
    </row>
    <row r="23" spans="1:10">
      <c r="A23" s="18"/>
      <c r="B23" s="18"/>
      <c r="C23" s="18"/>
      <c r="D23" s="18"/>
      <c r="E23" s="18"/>
      <c r="F23" s="18"/>
      <c r="G23" s="18"/>
      <c r="H23" s="18"/>
      <c r="I23" s="18"/>
      <c r="J23" s="18"/>
    </row>
    <row r="24" spans="1:10">
      <c r="A24" s="18"/>
      <c r="B24" s="138" t="s">
        <v>417</v>
      </c>
      <c r="C24" s="160">
        <f>IF(C15=0,0,E17/C15)</f>
        <v>3.4426822866300111E-2</v>
      </c>
      <c r="D24" s="18"/>
      <c r="E24" s="18"/>
      <c r="F24" s="18"/>
      <c r="G24" s="18"/>
      <c r="H24" s="18"/>
      <c r="I24" s="18"/>
      <c r="J24" s="18"/>
    </row>
    <row r="25" spans="1:10">
      <c r="A25" s="18"/>
      <c r="B25" s="17"/>
      <c r="C25" s="161"/>
      <c r="D25" s="18"/>
      <c r="E25" s="18"/>
      <c r="F25" s="18"/>
      <c r="G25" s="18"/>
      <c r="H25" s="18"/>
      <c r="I25" s="18"/>
      <c r="J25" s="18"/>
    </row>
    <row r="26" spans="1:10">
      <c r="A26" s="18"/>
      <c r="B26" s="18"/>
      <c r="C26" s="138" t="s">
        <v>418</v>
      </c>
      <c r="D26" s="162">
        <f>IF(C15=0,0,E19/C15)</f>
        <v>4.8075594728262368E-4</v>
      </c>
      <c r="E26" s="18"/>
      <c r="F26" s="18"/>
      <c r="G26" s="18"/>
      <c r="H26" s="18"/>
      <c r="I26" s="18"/>
      <c r="J26" s="18"/>
    </row>
    <row r="27" spans="1:10">
      <c r="A27" s="18"/>
      <c r="B27" s="18"/>
      <c r="C27" s="17"/>
      <c r="D27" s="163"/>
      <c r="E27" s="18"/>
      <c r="F27" s="18"/>
      <c r="G27" s="18"/>
      <c r="H27" s="18"/>
      <c r="I27" s="18"/>
      <c r="J27" s="18"/>
    </row>
    <row r="28" spans="1:10">
      <c r="A28" s="18"/>
      <c r="B28" s="18"/>
      <c r="C28" s="18"/>
      <c r="D28" s="138" t="s">
        <v>457</v>
      </c>
      <c r="E28" s="162">
        <f>IF(C15=0,0,E21/C15)</f>
        <v>9.7908435332799172E-3</v>
      </c>
      <c r="F28" s="18"/>
      <c r="G28" s="18"/>
      <c r="H28" s="18"/>
      <c r="I28" s="18"/>
      <c r="J28" s="18"/>
    </row>
    <row r="29" spans="1:10">
      <c r="A29" s="18"/>
      <c r="B29" s="18"/>
      <c r="C29" s="18"/>
      <c r="D29" s="18"/>
      <c r="E29" s="18"/>
      <c r="F29" s="18"/>
      <c r="G29" s="18"/>
      <c r="H29" s="18"/>
      <c r="I29" s="18"/>
      <c r="J29" s="18"/>
    </row>
    <row r="30" spans="1:10">
      <c r="A30" s="18"/>
      <c r="B30" s="18"/>
      <c r="C30" s="52"/>
      <c r="D30" s="52"/>
      <c r="E30" s="52"/>
      <c r="F30" s="52"/>
      <c r="G30" s="52"/>
      <c r="H30" s="52"/>
      <c r="I30" s="18"/>
      <c r="J30" s="18"/>
    </row>
    <row r="31" spans="1:10">
      <c r="A31" s="18"/>
      <c r="B31" s="18"/>
      <c r="C31" s="52"/>
      <c r="D31" s="52"/>
      <c r="E31" s="52"/>
      <c r="F31" s="52"/>
      <c r="G31" s="52"/>
      <c r="H31" s="52"/>
      <c r="I31" s="18"/>
      <c r="J31" s="18"/>
    </row>
  </sheetData>
  <sheetProtection sheet="1"/>
  <mergeCells count="4">
    <mergeCell ref="B6:F6"/>
    <mergeCell ref="C9:C10"/>
    <mergeCell ref="B9:B10"/>
    <mergeCell ref="D9:F9"/>
  </mergeCells>
  <phoneticPr fontId="0" type="noConversion"/>
  <pageMargins left="1.47" right="1.19" top="1" bottom="0.5" header="0.5" footer="0.5"/>
  <pageSetup scale="73" orientation="landscape" blackAndWhite="1" horizontalDpi="120" verticalDpi="144" r:id="rId1"/>
  <headerFooter alignWithMargins="0">
    <oddHeader xml:space="preserve">&amp;RState of Kansas
Special District
</oddHeader>
    <oddFooter>&amp;CPage No. 3</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G30"/>
  <sheetViews>
    <sheetView workbookViewId="0">
      <selection activeCell="C16" sqref="C16:E16"/>
    </sheetView>
  </sheetViews>
  <sheetFormatPr defaultRowHeight="15.75"/>
  <cols>
    <col min="1" max="2" width="17.77734375" style="16" customWidth="1"/>
    <col min="3" max="6" width="12.77734375" style="16" customWidth="1"/>
    <col min="7" max="16384" width="8.88671875" style="16"/>
  </cols>
  <sheetData>
    <row r="1" spans="1:6">
      <c r="A1" s="156"/>
      <c r="B1" s="18"/>
      <c r="C1" s="18"/>
      <c r="D1" s="18"/>
      <c r="E1" s="155"/>
      <c r="F1" s="18">
        <f ca="1">inputPrYr!D6</f>
        <v>2014</v>
      </c>
    </row>
    <row r="2" spans="1:6">
      <c r="A2" s="165" t="str">
        <f ca="1">inputPrYr!D3</f>
        <v>Crowm Hill Cemetery</v>
      </c>
      <c r="B2" s="165"/>
      <c r="C2" s="18"/>
      <c r="D2" s="18"/>
      <c r="E2" s="155"/>
      <c r="F2" s="18"/>
    </row>
    <row r="3" spans="1:6">
      <c r="A3" s="165" t="str">
        <f ca="1">inputPrYr!D4</f>
        <v xml:space="preserve">Comanche County </v>
      </c>
      <c r="B3" s="165"/>
      <c r="C3" s="18"/>
      <c r="D3" s="18"/>
      <c r="E3" s="155"/>
      <c r="F3" s="18"/>
    </row>
    <row r="4" spans="1:6">
      <c r="A4" s="156"/>
      <c r="B4" s="18"/>
      <c r="C4" s="18"/>
      <c r="D4" s="18"/>
      <c r="E4" s="155"/>
      <c r="F4" s="18"/>
    </row>
    <row r="5" spans="1:6" ht="15" customHeight="1">
      <c r="A5" s="660" t="s">
        <v>513</v>
      </c>
      <c r="B5" s="660"/>
      <c r="C5" s="660"/>
      <c r="D5" s="660"/>
      <c r="E5" s="660"/>
      <c r="F5" s="660"/>
    </row>
    <row r="6" spans="1:6" ht="14.25" customHeight="1">
      <c r="A6" s="96"/>
      <c r="B6" s="166"/>
      <c r="C6" s="166"/>
      <c r="D6" s="166"/>
      <c r="E6" s="166"/>
      <c r="F6" s="166"/>
    </row>
    <row r="7" spans="1:6" ht="17.25" customHeight="1">
      <c r="A7" s="167" t="s">
        <v>392</v>
      </c>
      <c r="B7" s="167" t="s">
        <v>93</v>
      </c>
      <c r="C7" s="167" t="s">
        <v>419</v>
      </c>
      <c r="D7" s="167" t="s">
        <v>514</v>
      </c>
      <c r="E7" s="167" t="s">
        <v>515</v>
      </c>
      <c r="F7" s="167" t="s">
        <v>528</v>
      </c>
    </row>
    <row r="8" spans="1:6" ht="17.25" customHeight="1">
      <c r="A8" s="168" t="s">
        <v>94</v>
      </c>
      <c r="B8" s="168" t="s">
        <v>95</v>
      </c>
      <c r="C8" s="168" t="s">
        <v>529</v>
      </c>
      <c r="D8" s="168" t="s">
        <v>529</v>
      </c>
      <c r="E8" s="168" t="s">
        <v>529</v>
      </c>
      <c r="F8" s="168" t="s">
        <v>530</v>
      </c>
    </row>
    <row r="9" spans="1:6" s="171" customFormat="1" ht="18" customHeight="1">
      <c r="A9" s="169" t="s">
        <v>531</v>
      </c>
      <c r="B9" s="169" t="s">
        <v>532</v>
      </c>
      <c r="C9" s="170">
        <f>F1-2</f>
        <v>2012</v>
      </c>
      <c r="D9" s="170">
        <f>F1-1</f>
        <v>2013</v>
      </c>
      <c r="E9" s="170">
        <f>F1</f>
        <v>2014</v>
      </c>
      <c r="F9" s="169" t="s">
        <v>533</v>
      </c>
    </row>
    <row r="10" spans="1:6" ht="15" customHeight="1">
      <c r="A10" s="172"/>
      <c r="B10" s="172"/>
      <c r="C10" s="173"/>
      <c r="D10" s="173"/>
      <c r="E10" s="173"/>
      <c r="F10" s="172"/>
    </row>
    <row r="11" spans="1:6" ht="15" customHeight="1">
      <c r="A11" s="46"/>
      <c r="B11" s="46"/>
      <c r="C11" s="140"/>
      <c r="D11" s="140"/>
      <c r="E11" s="140"/>
      <c r="F11" s="46"/>
    </row>
    <row r="12" spans="1:6" ht="15" customHeight="1">
      <c r="A12" s="46"/>
      <c r="B12" s="46"/>
      <c r="C12" s="140"/>
      <c r="D12" s="140"/>
      <c r="E12" s="140"/>
      <c r="F12" s="46"/>
    </row>
    <row r="13" spans="1:6" ht="15" customHeight="1">
      <c r="A13" s="46"/>
      <c r="B13" s="46"/>
      <c r="C13" s="140"/>
      <c r="D13" s="140"/>
      <c r="E13" s="140"/>
      <c r="F13" s="46"/>
    </row>
    <row r="14" spans="1:6" ht="15" customHeight="1">
      <c r="A14" s="46"/>
      <c r="B14" s="46"/>
      <c r="C14" s="140"/>
      <c r="D14" s="140"/>
      <c r="E14" s="140"/>
      <c r="F14" s="46"/>
    </row>
    <row r="15" spans="1:6" ht="15" customHeight="1">
      <c r="A15" s="46"/>
      <c r="B15" s="46"/>
      <c r="C15" s="140"/>
      <c r="D15" s="140"/>
      <c r="E15" s="140"/>
      <c r="F15" s="46"/>
    </row>
    <row r="16" spans="1:6" ht="15" customHeight="1">
      <c r="A16" s="46"/>
      <c r="B16" s="174"/>
      <c r="C16" s="140"/>
      <c r="D16" s="140"/>
      <c r="E16" s="140"/>
      <c r="F16" s="46"/>
    </row>
    <row r="17" spans="1:7" ht="15" customHeight="1">
      <c r="A17" s="46"/>
      <c r="B17" s="46"/>
      <c r="C17" s="140"/>
      <c r="D17" s="140"/>
      <c r="E17" s="140"/>
      <c r="F17" s="46"/>
    </row>
    <row r="18" spans="1:7" ht="15" customHeight="1">
      <c r="A18" s="46"/>
      <c r="B18" s="46"/>
      <c r="C18" s="140"/>
      <c r="D18" s="140"/>
      <c r="E18" s="140"/>
      <c r="F18" s="46"/>
    </row>
    <row r="19" spans="1:7" ht="15" customHeight="1">
      <c r="A19" s="46"/>
      <c r="B19" s="46"/>
      <c r="C19" s="140"/>
      <c r="D19" s="140"/>
      <c r="E19" s="140"/>
      <c r="F19" s="46"/>
    </row>
    <row r="20" spans="1:7" ht="15" customHeight="1">
      <c r="A20" s="46"/>
      <c r="B20" s="46"/>
      <c r="C20" s="140"/>
      <c r="D20" s="140"/>
      <c r="E20" s="140"/>
      <c r="F20" s="46"/>
    </row>
    <row r="21" spans="1:7" ht="15" customHeight="1">
      <c r="A21" s="46"/>
      <c r="B21" s="46"/>
      <c r="C21" s="140"/>
      <c r="D21" s="140"/>
      <c r="E21" s="140"/>
      <c r="F21" s="46"/>
    </row>
    <row r="22" spans="1:7" ht="15" customHeight="1">
      <c r="A22" s="46"/>
      <c r="B22" s="46"/>
      <c r="C22" s="140"/>
      <c r="D22" s="140"/>
      <c r="E22" s="140"/>
      <c r="F22" s="46"/>
    </row>
    <row r="23" spans="1:7" ht="15" customHeight="1">
      <c r="A23" s="46"/>
      <c r="B23" s="46"/>
      <c r="C23" s="140"/>
      <c r="D23" s="140"/>
      <c r="E23" s="140"/>
      <c r="F23" s="46"/>
    </row>
    <row r="24" spans="1:7">
      <c r="A24" s="30"/>
      <c r="B24" s="175" t="s">
        <v>502</v>
      </c>
      <c r="C24" s="176">
        <f>SUM(C10:C23)</f>
        <v>0</v>
      </c>
      <c r="D24" s="176">
        <f>SUM(D10:D23)</f>
        <v>0</v>
      </c>
      <c r="E24" s="176">
        <f>SUM(E10:E23)</f>
        <v>0</v>
      </c>
      <c r="F24" s="177"/>
      <c r="G24" s="61"/>
    </row>
    <row r="25" spans="1:7">
      <c r="A25" s="30"/>
      <c r="B25" s="178" t="s">
        <v>92</v>
      </c>
      <c r="C25" s="179"/>
      <c r="D25" s="180"/>
      <c r="E25" s="180"/>
      <c r="F25" s="177"/>
      <c r="G25" s="61"/>
    </row>
    <row r="26" spans="1:7">
      <c r="A26" s="30"/>
      <c r="B26" s="175" t="s">
        <v>534</v>
      </c>
      <c r="C26" s="176">
        <f>C24</f>
        <v>0</v>
      </c>
      <c r="D26" s="176">
        <f>SUM(D24-D25)</f>
        <v>0</v>
      </c>
      <c r="E26" s="176">
        <f>SUM(E24-E25)</f>
        <v>0</v>
      </c>
      <c r="F26" s="177"/>
      <c r="G26" s="61"/>
    </row>
    <row r="27" spans="1:7">
      <c r="A27" s="18"/>
      <c r="B27" s="18"/>
      <c r="C27" s="18"/>
      <c r="D27" s="52"/>
      <c r="E27" s="52"/>
      <c r="F27" s="52"/>
      <c r="G27" s="61"/>
    </row>
    <row r="28" spans="1:7">
      <c r="A28" s="18"/>
      <c r="B28" s="18"/>
      <c r="C28" s="18"/>
      <c r="D28" s="52"/>
      <c r="E28" s="52"/>
      <c r="F28" s="52"/>
      <c r="G28" s="61"/>
    </row>
    <row r="29" spans="1:7">
      <c r="A29" s="364" t="s">
        <v>96</v>
      </c>
      <c r="B29" s="365" t="str">
        <f>CONCATENATE("Adjustments are required only if the transfer is being made in ",D9," and/or ",E9," from a non-budgeted fund.")</f>
        <v>Adjustments are required only if the transfer is being made in 2013 and/or 2014 from a non-budgeted fund.</v>
      </c>
      <c r="C29" s="52"/>
      <c r="D29" s="52"/>
      <c r="E29" s="52"/>
      <c r="F29" s="52"/>
      <c r="G29" s="61"/>
    </row>
    <row r="30" spans="1:7">
      <c r="A30" s="61"/>
      <c r="B30" s="61"/>
      <c r="C30" s="61"/>
      <c r="D30" s="61"/>
      <c r="E30" s="61"/>
      <c r="F30" s="61"/>
      <c r="G30" s="61"/>
    </row>
  </sheetData>
  <sheetProtection sheet="1"/>
  <mergeCells count="1">
    <mergeCell ref="A5:F5"/>
  </mergeCells>
  <phoneticPr fontId="15" type="noConversion"/>
  <pageMargins left="0.75" right="0.75" top="1" bottom="1" header="0.5" footer="0.5"/>
  <pageSetup scale="78" orientation="portrait" blackAndWhite="1" r:id="rId1"/>
  <headerFooter alignWithMargins="0">
    <oddHeader>&amp;RState of Kansas
Special District</oddHeader>
    <oddFooter>&amp;CPage No. 4</oddFooter>
  </headerFooter>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defaultRowHeight="15"/>
  <cols>
    <col min="1" max="1" width="71.109375" style="61" customWidth="1"/>
    <col min="2" max="16384" width="8.88671875" style="61"/>
  </cols>
  <sheetData>
    <row r="1" spans="1:1" ht="18.75">
      <c r="A1" s="316" t="s">
        <v>673</v>
      </c>
    </row>
    <row r="2" spans="1:1" ht="15.75">
      <c r="A2" s="95"/>
    </row>
    <row r="3" spans="1:1" ht="47.25">
      <c r="A3" s="317" t="s">
        <v>674</v>
      </c>
    </row>
    <row r="4" spans="1:1" ht="15.75">
      <c r="A4" s="318"/>
    </row>
    <row r="5" spans="1:1" ht="15.75">
      <c r="A5" s="95"/>
    </row>
    <row r="6" spans="1:1" ht="63">
      <c r="A6" s="317" t="s">
        <v>675</v>
      </c>
    </row>
    <row r="7" spans="1:1" ht="15.75">
      <c r="A7" s="318"/>
    </row>
    <row r="8" spans="1:1" ht="15.75">
      <c r="A8" s="95"/>
    </row>
    <row r="9" spans="1:1" ht="47.25">
      <c r="A9" s="317" t="s">
        <v>676</v>
      </c>
    </row>
    <row r="10" spans="1:1" ht="15.75">
      <c r="A10" s="318"/>
    </row>
    <row r="11" spans="1:1" ht="15.75">
      <c r="A11" s="318"/>
    </row>
    <row r="12" spans="1:1" ht="31.5">
      <c r="A12" s="317" t="s">
        <v>677</v>
      </c>
    </row>
    <row r="13" spans="1:1" ht="15.75">
      <c r="A13" s="95"/>
    </row>
    <row r="14" spans="1:1" ht="15.75">
      <c r="A14" s="95"/>
    </row>
    <row r="15" spans="1:1" ht="47.25">
      <c r="A15" s="317" t="s">
        <v>678</v>
      </c>
    </row>
    <row r="16" spans="1:1" ht="15.75">
      <c r="A16" s="95"/>
    </row>
    <row r="17" spans="1:1" ht="15.75">
      <c r="A17" s="95"/>
    </row>
    <row r="18" spans="1:1" ht="63">
      <c r="A18" s="468" t="s">
        <v>196</v>
      </c>
    </row>
    <row r="19" spans="1:1" ht="15.75">
      <c r="A19" s="95"/>
    </row>
    <row r="20" spans="1:1" ht="15.75">
      <c r="A20" s="95"/>
    </row>
    <row r="21" spans="1:1" ht="63">
      <c r="A21" s="338" t="s">
        <v>679</v>
      </c>
    </row>
    <row r="22" spans="1:1" ht="15.75">
      <c r="A22" s="318"/>
    </row>
    <row r="23" spans="1:1" ht="15.75">
      <c r="A23" s="95"/>
    </row>
    <row r="24" spans="1:1" ht="63">
      <c r="A24" s="317" t="s">
        <v>680</v>
      </c>
    </row>
    <row r="25" spans="1:1" ht="47.25">
      <c r="A25" s="319" t="s">
        <v>681</v>
      </c>
    </row>
    <row r="26" spans="1:1" ht="15.75">
      <c r="A26" s="318"/>
    </row>
    <row r="27" spans="1:1" ht="15.75">
      <c r="A27" s="95"/>
    </row>
    <row r="28" spans="1:1" ht="63">
      <c r="A28" s="468" t="s">
        <v>197</v>
      </c>
    </row>
    <row r="29" spans="1:1" ht="15.75">
      <c r="A29" s="95"/>
    </row>
    <row r="30" spans="1:1" ht="15.75">
      <c r="A30" s="95"/>
    </row>
    <row r="31" spans="1:1" ht="78.75">
      <c r="A31" s="468" t="s">
        <v>198</v>
      </c>
    </row>
    <row r="32" spans="1:1" ht="15.75">
      <c r="A32" s="95"/>
    </row>
    <row r="33" spans="1:1" ht="15.75">
      <c r="A33" s="95"/>
    </row>
    <row r="34" spans="1:1" ht="47.25">
      <c r="A34" s="469" t="s">
        <v>199</v>
      </c>
    </row>
    <row r="35" spans="1:1" ht="15.75">
      <c r="A35" s="95"/>
    </row>
    <row r="36" spans="1:1" ht="15.75">
      <c r="A36" s="95"/>
    </row>
    <row r="37" spans="1:1" ht="78.75">
      <c r="A37" s="317" t="s">
        <v>682</v>
      </c>
    </row>
    <row r="38" spans="1:1" ht="15.75">
      <c r="A38" s="318"/>
    </row>
    <row r="39" spans="1:1" ht="15.75">
      <c r="A39" s="318"/>
    </row>
    <row r="40" spans="1:1" ht="47.25">
      <c r="A40" s="338" t="s">
        <v>683</v>
      </c>
    </row>
    <row r="41" spans="1:1" ht="15.75">
      <c r="A41" s="318"/>
    </row>
  </sheetData>
  <sheetProtection sheet="1"/>
  <phoneticPr fontId="0"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6</vt:i4>
      </vt:variant>
    </vt:vector>
  </HeadingPairs>
  <TitlesOfParts>
    <vt:vector size="33" baseType="lpstr">
      <vt:lpstr>instructions</vt:lpstr>
      <vt:lpstr>inputPrYr</vt:lpstr>
      <vt:lpstr>inputOth</vt:lpstr>
      <vt:lpstr>inputBudSum</vt:lpstr>
      <vt:lpstr>cert</vt:lpstr>
      <vt:lpstr>computation</vt:lpstr>
      <vt:lpstr>mvalloc</vt:lpstr>
      <vt:lpstr>transfers</vt:lpstr>
      <vt:lpstr>TransferFunds</vt:lpstr>
      <vt:lpstr>debt</vt:lpstr>
      <vt:lpstr>gen</vt:lpstr>
      <vt:lpstr>DebtService</vt:lpstr>
      <vt:lpstr>levypage8</vt:lpstr>
      <vt:lpstr>nolevypage9</vt:lpstr>
      <vt:lpstr>NonBud</vt:lpstr>
      <vt:lpstr>NonBudFunds</vt:lpstr>
      <vt:lpstr>summ</vt:lpstr>
      <vt:lpstr>Nhood</vt:lpstr>
      <vt:lpstr>Resolution</vt:lpstr>
      <vt:lpstr>Tab A</vt:lpstr>
      <vt:lpstr>Tab B</vt:lpstr>
      <vt:lpstr>Tab C</vt:lpstr>
      <vt:lpstr>Tab D</vt:lpstr>
      <vt:lpstr>Tab E</vt:lpstr>
      <vt:lpstr>Mill Rate Computation</vt:lpstr>
      <vt:lpstr>Helpful Links</vt:lpstr>
      <vt:lpstr>legend</vt:lpstr>
      <vt:lpstr>DebtService!Print_Area</vt:lpstr>
      <vt:lpstr>gen!Print_Area</vt:lpstr>
      <vt:lpstr>inputPrYr!Print_Area</vt:lpstr>
      <vt:lpstr>instructions!Print_Area</vt:lpstr>
      <vt:lpstr>levypage8!Print_Area</vt:lpstr>
      <vt:lpstr>summ!Print_Area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special district</dc:title>
  <dc:creator>Alice</dc:creator>
  <cp:lastModifiedBy>Alice</cp:lastModifiedBy>
  <cp:lastPrinted>2012-05-29T21:21:55Z</cp:lastPrinted>
  <dcterms:created xsi:type="dcterms:W3CDTF">1999-08-06T13:59:57Z</dcterms:created>
  <dcterms:modified xsi:type="dcterms:W3CDTF">2013-07-17T06:45:18Z</dcterms:modified>
</cp:coreProperties>
</file>