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never" codeName="ThisWorkbook" defaultThemeVersion="124226"/>
  <bookViews>
    <workbookView xWindow="120" yWindow="150" windowWidth="19440" windowHeight="9435" tabRatio="805" firstSheet="4" activeTab="5"/>
  </bookViews>
  <sheets>
    <sheet name="instructions" sheetId="1" state="hidden" r:id="rId1"/>
    <sheet name="inputPrYr" sheetId="2" r:id="rId2"/>
    <sheet name="inputOth" sheetId="43" r:id="rId3"/>
    <sheet name="inputBudSum" sheetId="57" r:id="rId4"/>
    <sheet name="cert" sheetId="3" r:id="rId5"/>
    <sheet name="cert2" sheetId="4" r:id="rId6"/>
    <sheet name="computation" sheetId="33" r:id="rId7"/>
    <sheet name="mvalloc" sheetId="38" r:id="rId8"/>
    <sheet name="transfers" sheetId="6" r:id="rId9"/>
    <sheet name="TransfersStatutes" sheetId="50" state="hidden" r:id="rId10"/>
    <sheet name="debt" sheetId="29" r:id="rId11"/>
    <sheet name="lpform" sheetId="30" r:id="rId12"/>
    <sheet name="general" sheetId="8" r:id="rId13"/>
    <sheet name="gen-detail" sheetId="9" r:id="rId14"/>
    <sheet name="DebtService" sheetId="42" r:id="rId15"/>
    <sheet name="road" sheetId="44" r:id="rId16"/>
    <sheet name="RoadDetail" sheetId="11" state="hidden" r:id="rId17"/>
    <sheet name="MultiYr-Ment Health" sheetId="10" r:id="rId18"/>
    <sheet name="NHosp-Noxious" sheetId="12" r:id="rId19"/>
    <sheet name="Hetling-Sp Brg1135" sheetId="13" r:id="rId20"/>
    <sheet name="Spec R&amp;B-Tort" sheetId="14" r:id="rId21"/>
    <sheet name="Health Dept-B&amp;I" sheetId="15" r:id="rId22"/>
    <sheet name="No Fund W" sheetId="16" r:id="rId23"/>
    <sheet name="levy page16" sheetId="17" state="hidden" r:id="rId24"/>
    <sheet name="levy page17" sheetId="18" state="hidden" r:id="rId25"/>
    <sheet name="levy page18" sheetId="19" state="hidden" r:id="rId26"/>
    <sheet name="levy page19" sheetId="20" state="hidden" r:id="rId27"/>
    <sheet name="levy page20" sheetId="21" state="hidden" r:id="rId28"/>
    <sheet name="no levy page21" sheetId="22" r:id="rId29"/>
    <sheet name="Com Corr-Cert Gr" sheetId="23" r:id="rId30"/>
    <sheet name="Surv -Citiz Rev" sheetId="24" r:id="rId31"/>
    <sheet name="911-Reg Deeds" sheetId="25" r:id="rId32"/>
    <sheet name="Co Auto-Prosec Tr" sheetId="26" r:id="rId33"/>
    <sheet name="Ct B&amp;I - Sales Tax Rev" sheetId="36" r:id="rId34"/>
    <sheet name="New Ct - Ct Sales tax Surp" sheetId="35" r:id="rId35"/>
    <sheet name="Spec Alch - Spec Parks" sheetId="37" r:id="rId36"/>
    <sheet name="nonbudA" sheetId="45" r:id="rId37"/>
    <sheet name="nonbudB" sheetId="46" r:id="rId38"/>
    <sheet name="nonbudC" sheetId="47" state="hidden" r:id="rId39"/>
    <sheet name="nonbudD" sheetId="48" state="hidden" r:id="rId40"/>
    <sheet name="NonBudFunds" sheetId="56" state="hidden" r:id="rId41"/>
    <sheet name="summ" sheetId="27" r:id="rId42"/>
    <sheet name="summ2" sheetId="28" r:id="rId43"/>
    <sheet name="Nhood" sheetId="49" r:id="rId44"/>
    <sheet name="Resolution" sheetId="39" r:id="rId45"/>
    <sheet name="Tab A" sheetId="51" state="hidden" r:id="rId46"/>
    <sheet name="Tab B" sheetId="52" state="hidden" r:id="rId47"/>
    <sheet name="Tab C" sheetId="53" state="hidden" r:id="rId48"/>
    <sheet name="Tab D" sheetId="54" state="hidden" r:id="rId49"/>
    <sheet name="Tab E" sheetId="55" state="hidden" r:id="rId50"/>
    <sheet name="Mill Rate Computation" sheetId="58" state="hidden" r:id="rId51"/>
    <sheet name="Helpful Links" sheetId="59" state="hidden" r:id="rId52"/>
    <sheet name="legend" sheetId="34" state="hidden" r:id="rId53"/>
    <sheet name="Sheet1" sheetId="60" r:id="rId54"/>
    <sheet name="Sheet2" sheetId="61" r:id="rId55"/>
  </sheets>
  <definedNames>
    <definedName name="_xlnm.Print_Area" localSheetId="14">DebtService!$B$1:$E$59</definedName>
    <definedName name="_xlnm.Print_Area" localSheetId="12">general!$A$1:$E$127</definedName>
    <definedName name="_xlnm.Print_Area" localSheetId="21">'Health Dept-B&amp;I'!$A$1:$E$86</definedName>
    <definedName name="_xlnm.Print_Area" localSheetId="19">'Hetling-Sp Brg1135'!$A$1:$E$86</definedName>
    <definedName name="_xlnm.Print_Area" localSheetId="3">inputBudSum!$A$1:$G$23</definedName>
    <definedName name="_xlnm.Print_Area" localSheetId="2">inputOth!$A$1:$E$70</definedName>
    <definedName name="_xlnm.Print_Area" localSheetId="1">inputPrYr!$A$1:$F$125</definedName>
    <definedName name="_xlnm.Print_Area" localSheetId="0">instructions!$A$1:$A$107</definedName>
    <definedName name="_xlnm.Print_Area" localSheetId="23">'levy page16'!$A$1:$E$86</definedName>
    <definedName name="_xlnm.Print_Area" localSheetId="24">'levy page17'!$A$1:$E$86</definedName>
    <definedName name="_xlnm.Print_Area" localSheetId="25">'levy page18'!$A$1:$E$86</definedName>
    <definedName name="_xlnm.Print_Area" localSheetId="26">'levy page19'!$A$1:$E$86</definedName>
    <definedName name="_xlnm.Print_Area" localSheetId="27">'levy page20'!$A$1:$E$86</definedName>
    <definedName name="_xlnm.Print_Area" localSheetId="17">'MultiYr-Ment Health'!$A$1:$E$87</definedName>
    <definedName name="_xlnm.Print_Area" localSheetId="18">'NHosp-Noxious'!$A$1:$E$86</definedName>
    <definedName name="_xlnm.Print_Area" localSheetId="22">'No Fund W'!$A$1:$E$86</definedName>
    <definedName name="_xlnm.Print_Area" localSheetId="15">road!$B$1:$E$120</definedName>
    <definedName name="_xlnm.Print_Area" localSheetId="20">'Spec R&amp;B-Tort'!$A$1:$E$86</definedName>
    <definedName name="_xlnm.Print_Area" localSheetId="41">summ!$A$1:$H$78</definedName>
  </definedNames>
  <calcPr calcId="125725"/>
</workbook>
</file>

<file path=xl/calcChain.xml><?xml version="1.0" encoding="utf-8"?>
<calcChain xmlns="http://schemas.openxmlformats.org/spreadsheetml/2006/main">
  <c r="A6" i="27"/>
  <c r="E52" i="23"/>
  <c r="E51"/>
  <c r="E50"/>
  <c r="C52"/>
  <c r="C51"/>
  <c r="C50"/>
  <c r="C40"/>
  <c r="D46" i="13"/>
  <c r="D8" i="44"/>
  <c r="D8" i="8"/>
  <c r="E20" i="22"/>
  <c r="E19"/>
  <c r="E18"/>
  <c r="C19"/>
  <c r="C18"/>
  <c r="C21" i="9" l="1"/>
  <c r="C15"/>
  <c r="C8"/>
  <c r="D8" i="15"/>
  <c r="C6"/>
  <c r="C8"/>
  <c r="D46" i="14"/>
  <c r="D8"/>
  <c r="D46" i="12"/>
  <c r="D8" i="13"/>
  <c r="D8" i="12"/>
  <c r="D8" i="10"/>
  <c r="D47"/>
  <c r="C60"/>
  <c r="C14"/>
  <c r="C19" i="44"/>
  <c r="C18"/>
  <c r="B127" i="9"/>
  <c r="B45"/>
  <c r="D45"/>
  <c r="C260"/>
  <c r="D260"/>
  <c r="B260"/>
  <c r="C232"/>
  <c r="D232"/>
  <c r="B232"/>
  <c r="C226"/>
  <c r="C211"/>
  <c r="C146"/>
  <c r="C126"/>
  <c r="C104"/>
  <c r="C80"/>
  <c r="C74"/>
  <c r="C68"/>
  <c r="C33"/>
  <c r="C27"/>
  <c r="E52" i="8"/>
  <c r="C83"/>
  <c r="C87"/>
  <c r="E38"/>
  <c r="E48"/>
  <c r="E24"/>
  <c r="E23"/>
  <c r="E22"/>
  <c r="E20"/>
  <c r="C52"/>
  <c r="C48"/>
  <c r="C24"/>
  <c r="C23"/>
  <c r="C38"/>
  <c r="C51"/>
  <c r="C33"/>
  <c r="C22"/>
  <c r="C20"/>
  <c r="D10" i="26" l="1"/>
  <c r="D51" i="14"/>
  <c r="D14" i="10"/>
  <c r="D13" i="44"/>
  <c r="E51" i="8"/>
  <c r="C62" i="25" l="1"/>
  <c r="D31"/>
  <c r="C31"/>
  <c r="D62" i="24"/>
  <c r="C62"/>
  <c r="D31"/>
  <c r="C31"/>
  <c r="A45" i="27"/>
  <c r="A46"/>
  <c r="A47"/>
  <c r="D59" i="2"/>
  <c r="A50" i="3"/>
  <c r="A51"/>
  <c r="A52"/>
  <c r="A59" i="43"/>
  <c r="A62"/>
  <c r="B6" i="25"/>
  <c r="B37" i="24"/>
  <c r="B6"/>
  <c r="J29" i="21"/>
  <c r="J28"/>
  <c r="J29" i="20"/>
  <c r="J28"/>
  <c r="J29" i="19"/>
  <c r="J28"/>
  <c r="J29" i="18"/>
  <c r="J28"/>
  <c r="J29" i="17"/>
  <c r="J28"/>
  <c r="J29" i="16"/>
  <c r="J28"/>
  <c r="J29" i="15"/>
  <c r="J28"/>
  <c r="J29" i="14"/>
  <c r="J28"/>
  <c r="J29" i="13"/>
  <c r="J28"/>
  <c r="J29" i="12"/>
  <c r="J28"/>
  <c r="J30" i="10"/>
  <c r="J29"/>
  <c r="J108" i="44"/>
  <c r="J107"/>
  <c r="J46" i="42"/>
  <c r="J47"/>
  <c r="J112" i="8"/>
  <c r="J111"/>
  <c r="C43" i="3"/>
  <c r="C42"/>
  <c r="C75" i="20"/>
  <c r="C35"/>
  <c r="E43" i="10"/>
  <c r="D43"/>
  <c r="C43"/>
  <c r="D39" i="21"/>
  <c r="D79"/>
  <c r="D39" i="19"/>
  <c r="D79"/>
  <c r="D79" i="18"/>
  <c r="D39"/>
  <c r="D39" i="17"/>
  <c r="D79"/>
  <c r="D39" i="16"/>
  <c r="D79"/>
  <c r="D39" i="15"/>
  <c r="D79"/>
  <c r="D39" i="14"/>
  <c r="D79"/>
  <c r="D39" i="13"/>
  <c r="D79"/>
  <c r="D39" i="12"/>
  <c r="D79"/>
  <c r="D80" i="10"/>
  <c r="D40"/>
  <c r="D117" i="44"/>
  <c r="D56" i="42"/>
  <c r="D79" i="20"/>
  <c r="D75"/>
  <c r="D90" s="1"/>
  <c r="B45"/>
  <c r="D39"/>
  <c r="D35"/>
  <c r="E1"/>
  <c r="H36" s="1"/>
  <c r="B1"/>
  <c r="B5"/>
  <c r="D73"/>
  <c r="D38" i="27"/>
  <c r="C73" i="20"/>
  <c r="B38" i="27"/>
  <c r="C72" i="20"/>
  <c r="C60"/>
  <c r="C61"/>
  <c r="C74"/>
  <c r="E44"/>
  <c r="D44"/>
  <c r="C44"/>
  <c r="D33"/>
  <c r="D37" i="27"/>
  <c r="C33" i="20"/>
  <c r="B37" i="27"/>
  <c r="C32" i="20"/>
  <c r="C20"/>
  <c r="C19"/>
  <c r="H40" i="2"/>
  <c r="D46" i="21"/>
  <c r="D60" s="1"/>
  <c r="H39" i="2"/>
  <c r="D8" i="21"/>
  <c r="D20" s="1"/>
  <c r="H38" i="2"/>
  <c r="D48" i="20"/>
  <c r="D60" s="1"/>
  <c r="H37" i="2"/>
  <c r="D8" i="20"/>
  <c r="D20" s="1"/>
  <c r="H36" i="2"/>
  <c r="D46" i="19"/>
  <c r="D60" s="1"/>
  <c r="H35" i="2"/>
  <c r="D8" i="19"/>
  <c r="D20" s="1"/>
  <c r="H34" i="2"/>
  <c r="D46" i="18"/>
  <c r="D60" s="1"/>
  <c r="H33" i="2"/>
  <c r="D8" i="18"/>
  <c r="D20" s="1"/>
  <c r="H32" i="2"/>
  <c r="D46" i="17"/>
  <c r="D60" s="1"/>
  <c r="H31" i="2"/>
  <c r="D8" i="17"/>
  <c r="D20" s="1"/>
  <c r="H30" i="2"/>
  <c r="D46" i="16"/>
  <c r="D60" s="1"/>
  <c r="H29" i="2"/>
  <c r="D8" i="16"/>
  <c r="D20" s="1"/>
  <c r="D19" s="1"/>
  <c r="H28" i="2"/>
  <c r="D46" i="15" s="1"/>
  <c r="D60" s="1"/>
  <c r="H27" i="2"/>
  <c r="H26"/>
  <c r="H25"/>
  <c r="H24"/>
  <c r="D60" i="13" s="1"/>
  <c r="H23" i="2"/>
  <c r="H22"/>
  <c r="H21"/>
  <c r="D20" i="12" s="1"/>
  <c r="H20" i="2"/>
  <c r="H19"/>
  <c r="H18"/>
  <c r="H17"/>
  <c r="D9" i="42"/>
  <c r="D26" s="1"/>
  <c r="H16" i="2"/>
  <c r="D54" i="8" s="1"/>
  <c r="G20" i="57"/>
  <c r="G22" s="1"/>
  <c r="J148" i="58"/>
  <c r="H134"/>
  <c r="C137"/>
  <c r="J137"/>
  <c r="H120"/>
  <c r="C123"/>
  <c r="F117"/>
  <c r="H117"/>
  <c r="F123"/>
  <c r="H114"/>
  <c r="C103"/>
  <c r="H100"/>
  <c r="H94"/>
  <c r="F97"/>
  <c r="H97"/>
  <c r="F103"/>
  <c r="H80"/>
  <c r="C83"/>
  <c r="F77"/>
  <c r="H77"/>
  <c r="F83"/>
  <c r="H74"/>
  <c r="H48"/>
  <c r="F50"/>
  <c r="J50"/>
  <c r="H41"/>
  <c r="H28"/>
  <c r="B28"/>
  <c r="H25"/>
  <c r="C25"/>
  <c r="D121" i="8"/>
  <c r="C75" i="21"/>
  <c r="D75"/>
  <c r="D93" s="1"/>
  <c r="C35"/>
  <c r="D35"/>
  <c r="D91" s="1"/>
  <c r="C75" i="19"/>
  <c r="D75"/>
  <c r="C35"/>
  <c r="D35"/>
  <c r="D91" s="1"/>
  <c r="C75" i="18"/>
  <c r="D75"/>
  <c r="D93" s="1"/>
  <c r="C35"/>
  <c r="D35"/>
  <c r="D91" s="1"/>
  <c r="C75" i="17"/>
  <c r="D75"/>
  <c r="D93" s="1"/>
  <c r="C35"/>
  <c r="D35"/>
  <c r="C75" i="16"/>
  <c r="D75"/>
  <c r="D93" s="1"/>
  <c r="C35"/>
  <c r="D35"/>
  <c r="C75" i="15"/>
  <c r="D75"/>
  <c r="C35"/>
  <c r="D35"/>
  <c r="C75" i="14"/>
  <c r="D75"/>
  <c r="C35"/>
  <c r="D35"/>
  <c r="C75" i="13"/>
  <c r="D75"/>
  <c r="C35"/>
  <c r="D35"/>
  <c r="C75" i="12"/>
  <c r="D75"/>
  <c r="C35"/>
  <c r="D35"/>
  <c r="C76" i="10"/>
  <c r="D76"/>
  <c r="C36"/>
  <c r="D36"/>
  <c r="C113" i="44"/>
  <c r="D113"/>
  <c r="C52" i="42"/>
  <c r="D52"/>
  <c r="C117" i="8"/>
  <c r="D117"/>
  <c r="A6" i="54"/>
  <c r="A8" i="55"/>
  <c r="A46" i="54"/>
  <c r="A41"/>
  <c r="A38" i="53"/>
  <c r="A33"/>
  <c r="A19"/>
  <c r="A6"/>
  <c r="A34" i="52"/>
  <c r="A33"/>
  <c r="A6"/>
  <c r="A77" i="51"/>
  <c r="A74"/>
  <c r="A33"/>
  <c r="A28"/>
  <c r="A25"/>
  <c r="A16"/>
  <c r="A6"/>
  <c r="A8" i="27"/>
  <c r="D34" i="49"/>
  <c r="A118" i="2"/>
  <c r="A117"/>
  <c r="D88"/>
  <c r="A1" i="43"/>
  <c r="A2" i="6"/>
  <c r="B1" i="30"/>
  <c r="B1" i="29"/>
  <c r="A1" i="45"/>
  <c r="A1" i="46"/>
  <c r="A1" i="47"/>
  <c r="A1" i="48"/>
  <c r="A5" i="27"/>
  <c r="A1" i="28"/>
  <c r="D50" i="42"/>
  <c r="D70"/>
  <c r="C54" i="44"/>
  <c r="C55" s="1"/>
  <c r="C21" i="10"/>
  <c r="C22" s="1"/>
  <c r="C34"/>
  <c r="G39" s="1"/>
  <c r="D34"/>
  <c r="C33" i="12"/>
  <c r="G38" s="1"/>
  <c r="C20"/>
  <c r="C21" s="1"/>
  <c r="D33"/>
  <c r="C33" i="13"/>
  <c r="G38"/>
  <c r="C20"/>
  <c r="C21" s="1"/>
  <c r="C34" s="1"/>
  <c r="D33"/>
  <c r="C33" i="14"/>
  <c r="C91" s="1"/>
  <c r="C20"/>
  <c r="C21" s="1"/>
  <c r="D33"/>
  <c r="C33" i="15"/>
  <c r="G38" s="1"/>
  <c r="C20"/>
  <c r="C21" s="1"/>
  <c r="D33"/>
  <c r="C33" i="16"/>
  <c r="G38"/>
  <c r="C20"/>
  <c r="C21"/>
  <c r="D33"/>
  <c r="C33" i="17"/>
  <c r="G38"/>
  <c r="C20"/>
  <c r="C21"/>
  <c r="D33"/>
  <c r="C33" i="18"/>
  <c r="G38"/>
  <c r="C20"/>
  <c r="C21"/>
  <c r="D33"/>
  <c r="C33" i="19"/>
  <c r="C91"/>
  <c r="C20"/>
  <c r="C21"/>
  <c r="D33"/>
  <c r="C33" i="21"/>
  <c r="G38"/>
  <c r="C91"/>
  <c r="C20"/>
  <c r="C21"/>
  <c r="C34"/>
  <c r="D33"/>
  <c r="C61" i="10"/>
  <c r="C62" s="1"/>
  <c r="C74"/>
  <c r="G79" s="1"/>
  <c r="D74"/>
  <c r="C60" i="12"/>
  <c r="C61" s="1"/>
  <c r="C73"/>
  <c r="G78" s="1"/>
  <c r="D73"/>
  <c r="C60" i="13"/>
  <c r="C61" s="1"/>
  <c r="C73"/>
  <c r="C93" s="1"/>
  <c r="D73"/>
  <c r="C60" i="14"/>
  <c r="C61" s="1"/>
  <c r="C73"/>
  <c r="G78" s="1"/>
  <c r="D73"/>
  <c r="C60" i="15"/>
  <c r="C61" s="1"/>
  <c r="C73"/>
  <c r="G78" s="1"/>
  <c r="D73"/>
  <c r="C60" i="16"/>
  <c r="C61"/>
  <c r="C74"/>
  <c r="C73"/>
  <c r="C93"/>
  <c r="B30" i="27"/>
  <c r="D73" i="16"/>
  <c r="C60" i="17"/>
  <c r="C61"/>
  <c r="C73"/>
  <c r="G78"/>
  <c r="D73"/>
  <c r="C60" i="18"/>
  <c r="C61"/>
  <c r="C74"/>
  <c r="C73"/>
  <c r="G78"/>
  <c r="D73"/>
  <c r="C60" i="19"/>
  <c r="C61"/>
  <c r="C73"/>
  <c r="C93"/>
  <c r="D73"/>
  <c r="C60" i="21"/>
  <c r="C61"/>
  <c r="C73"/>
  <c r="G78"/>
  <c r="D73"/>
  <c r="E1" i="8"/>
  <c r="H129" s="1"/>
  <c r="D42" i="12"/>
  <c r="C42"/>
  <c r="D42" i="13"/>
  <c r="C42"/>
  <c r="D42" i="14"/>
  <c r="C42"/>
  <c r="D42" i="15"/>
  <c r="C42"/>
  <c r="D42" i="16"/>
  <c r="C42"/>
  <c r="D42" i="17"/>
  <c r="C42"/>
  <c r="D42" i="18"/>
  <c r="C42"/>
  <c r="D42" i="19"/>
  <c r="C42"/>
  <c r="E1" i="44"/>
  <c r="C26" i="42"/>
  <c r="C27"/>
  <c r="C51"/>
  <c r="C50"/>
  <c r="G56"/>
  <c r="C54" i="8"/>
  <c r="C55" s="1"/>
  <c r="E58"/>
  <c r="E62" s="1"/>
  <c r="E1" i="42"/>
  <c r="E6" s="1"/>
  <c r="E1" i="10"/>
  <c r="C81" s="1"/>
  <c r="E1" i="12"/>
  <c r="E1" i="13"/>
  <c r="B75" s="1"/>
  <c r="E1" i="14"/>
  <c r="E1" i="15"/>
  <c r="D5" s="1"/>
  <c r="D43" s="1"/>
  <c r="E1" i="16"/>
  <c r="E1" i="17"/>
  <c r="B35" s="1"/>
  <c r="E1" i="18"/>
  <c r="E1" i="19"/>
  <c r="B75" s="1"/>
  <c r="E1" i="21"/>
  <c r="B1"/>
  <c r="B1" i="19"/>
  <c r="B1" i="18"/>
  <c r="B1" i="17"/>
  <c r="B1" i="16"/>
  <c r="B1" i="15"/>
  <c r="B1" i="14"/>
  <c r="B1" i="13"/>
  <c r="B1" i="12"/>
  <c r="B1" i="10"/>
  <c r="A1" i="11"/>
  <c r="B1" i="44"/>
  <c r="B59"/>
  <c r="B1" i="42"/>
  <c r="A241" i="9"/>
  <c r="A179"/>
  <c r="A119"/>
  <c r="A61"/>
  <c r="A1"/>
  <c r="B1" i="8"/>
  <c r="B58"/>
  <c r="E1" i="22"/>
  <c r="E1" i="23"/>
  <c r="B31" s="1"/>
  <c r="E1" i="24"/>
  <c r="B31" s="1"/>
  <c r="E1" i="25"/>
  <c r="B31" s="1"/>
  <c r="E1" i="26"/>
  <c r="E1" i="36"/>
  <c r="B32" s="1"/>
  <c r="E1" i="35"/>
  <c r="B31" s="1"/>
  <c r="E1" i="37"/>
  <c r="B62" s="1"/>
  <c r="B1" i="22"/>
  <c r="B1" i="23"/>
  <c r="B1" i="24"/>
  <c r="B1" i="25"/>
  <c r="B1" i="26"/>
  <c r="B1" i="36"/>
  <c r="B1" i="35"/>
  <c r="B1" i="37"/>
  <c r="C62" i="35"/>
  <c r="D62"/>
  <c r="C31"/>
  <c r="D31"/>
  <c r="C63" i="36"/>
  <c r="D63"/>
  <c r="C32"/>
  <c r="D32"/>
  <c r="C62" i="26"/>
  <c r="D62"/>
  <c r="C31"/>
  <c r="D31"/>
  <c r="D62" i="25"/>
  <c r="C62" i="23"/>
  <c r="D62"/>
  <c r="C31"/>
  <c r="D31"/>
  <c r="D31" i="22"/>
  <c r="C31"/>
  <c r="D62"/>
  <c r="C62"/>
  <c r="C60"/>
  <c r="C46"/>
  <c r="C47"/>
  <c r="D60"/>
  <c r="D46"/>
  <c r="E46"/>
  <c r="E60"/>
  <c r="C60" i="23"/>
  <c r="C46"/>
  <c r="C47" s="1"/>
  <c r="D60"/>
  <c r="D46"/>
  <c r="E46"/>
  <c r="E60"/>
  <c r="C46" i="24"/>
  <c r="C47" s="1"/>
  <c r="C60"/>
  <c r="C59" s="1"/>
  <c r="D60"/>
  <c r="D46"/>
  <c r="E46"/>
  <c r="E60"/>
  <c r="C60" i="25"/>
  <c r="C63" s="1"/>
  <c r="C46"/>
  <c r="C47" s="1"/>
  <c r="D60"/>
  <c r="D46"/>
  <c r="E46"/>
  <c r="E60"/>
  <c r="C46" i="26"/>
  <c r="C47" s="1"/>
  <c r="C60"/>
  <c r="D60"/>
  <c r="D46"/>
  <c r="E46"/>
  <c r="E60"/>
  <c r="C47" i="36"/>
  <c r="C48" s="1"/>
  <c r="C61"/>
  <c r="D61"/>
  <c r="D47"/>
  <c r="E47"/>
  <c r="E61"/>
  <c r="C46" i="35"/>
  <c r="C47" s="1"/>
  <c r="C60"/>
  <c r="B54" i="27" s="1"/>
  <c r="D60" i="35"/>
  <c r="D46"/>
  <c r="E46"/>
  <c r="E60"/>
  <c r="C60" i="37"/>
  <c r="C46"/>
  <c r="C47"/>
  <c r="D46"/>
  <c r="D60"/>
  <c r="E46"/>
  <c r="E60"/>
  <c r="D62"/>
  <c r="C62"/>
  <c r="C63" s="1"/>
  <c r="C29" i="22"/>
  <c r="C32" s="1"/>
  <c r="C15"/>
  <c r="C16" s="1"/>
  <c r="D29"/>
  <c r="D32" s="1"/>
  <c r="D15"/>
  <c r="E15"/>
  <c r="E29"/>
  <c r="C29" i="23"/>
  <c r="C32" s="1"/>
  <c r="D29"/>
  <c r="E29"/>
  <c r="C29" i="24"/>
  <c r="C15"/>
  <c r="C16" s="1"/>
  <c r="D29"/>
  <c r="D32" s="1"/>
  <c r="D15"/>
  <c r="E15"/>
  <c r="E29"/>
  <c r="C29" i="25"/>
  <c r="B47" i="27" s="1"/>
  <c r="D29" i="25"/>
  <c r="D32" s="1"/>
  <c r="E29"/>
  <c r="C29" i="26"/>
  <c r="C32" s="1"/>
  <c r="C15"/>
  <c r="C16" s="1"/>
  <c r="D29"/>
  <c r="D15"/>
  <c r="E15"/>
  <c r="E29"/>
  <c r="C30" i="36"/>
  <c r="C33" s="1"/>
  <c r="C16"/>
  <c r="C17" s="1"/>
  <c r="D30"/>
  <c r="D16"/>
  <c r="E16"/>
  <c r="E30"/>
  <c r="C29" i="35"/>
  <c r="C15"/>
  <c r="C16"/>
  <c r="C30" s="1"/>
  <c r="D29"/>
  <c r="D15"/>
  <c r="E15"/>
  <c r="E29"/>
  <c r="C29" i="37"/>
  <c r="C15"/>
  <c r="C16" s="1"/>
  <c r="C30" s="1"/>
  <c r="D15"/>
  <c r="D29"/>
  <c r="E15"/>
  <c r="E29"/>
  <c r="C31"/>
  <c r="D31"/>
  <c r="A39" i="39"/>
  <c r="A29"/>
  <c r="A28"/>
  <c r="A25" s="1"/>
  <c r="A20"/>
  <c r="A10"/>
  <c r="A6"/>
  <c r="A1" i="49"/>
  <c r="B1" i="38"/>
  <c r="C1" i="33"/>
  <c r="A3" i="4"/>
  <c r="A6" i="3"/>
  <c r="A4"/>
  <c r="A88" i="2"/>
  <c r="A59"/>
  <c r="A41"/>
  <c r="D14"/>
  <c r="F1" i="49"/>
  <c r="A34" s="1"/>
  <c r="J28" i="48"/>
  <c r="J17"/>
  <c r="J18"/>
  <c r="H28"/>
  <c r="H29"/>
  <c r="H17"/>
  <c r="H18"/>
  <c r="F17"/>
  <c r="F18"/>
  <c r="F28"/>
  <c r="D17"/>
  <c r="D18"/>
  <c r="D28"/>
  <c r="B17"/>
  <c r="B18"/>
  <c r="B28"/>
  <c r="J17" i="47"/>
  <c r="J18"/>
  <c r="J28"/>
  <c r="H28"/>
  <c r="H29"/>
  <c r="H17"/>
  <c r="H18"/>
  <c r="F17"/>
  <c r="F18"/>
  <c r="F28"/>
  <c r="D17"/>
  <c r="D18"/>
  <c r="D28"/>
  <c r="B17"/>
  <c r="B18"/>
  <c r="B28"/>
  <c r="J17" i="46"/>
  <c r="J18" s="1"/>
  <c r="J28"/>
  <c r="H17"/>
  <c r="H18" s="1"/>
  <c r="H28"/>
  <c r="F17"/>
  <c r="F18" s="1"/>
  <c r="F29" s="1"/>
  <c r="F30" s="1"/>
  <c r="F28"/>
  <c r="D17"/>
  <c r="D18" s="1"/>
  <c r="D28"/>
  <c r="B17"/>
  <c r="B18" s="1"/>
  <c r="B28"/>
  <c r="J17" i="45"/>
  <c r="J18" s="1"/>
  <c r="J28"/>
  <c r="H17"/>
  <c r="H18" s="1"/>
  <c r="H28"/>
  <c r="F17"/>
  <c r="F18"/>
  <c r="F28"/>
  <c r="F29"/>
  <c r="F30" s="1"/>
  <c r="D17"/>
  <c r="D18" s="1"/>
  <c r="D28"/>
  <c r="B28"/>
  <c r="B17"/>
  <c r="B18"/>
  <c r="F14" i="2"/>
  <c r="E14"/>
  <c r="H15" s="1"/>
  <c r="G11" i="33"/>
  <c r="E14"/>
  <c r="E15"/>
  <c r="G19"/>
  <c r="E41" i="2"/>
  <c r="J5" i="33" s="1"/>
  <c r="J6"/>
  <c r="C31" i="38"/>
  <c r="C7"/>
  <c r="C8"/>
  <c r="C9"/>
  <c r="C10"/>
  <c r="C11"/>
  <c r="C12"/>
  <c r="C13"/>
  <c r="C14"/>
  <c r="C15"/>
  <c r="C16"/>
  <c r="C17"/>
  <c r="C18"/>
  <c r="C19"/>
  <c r="C20"/>
  <c r="C21"/>
  <c r="C22"/>
  <c r="C23"/>
  <c r="C24"/>
  <c r="C25"/>
  <c r="C26"/>
  <c r="C27"/>
  <c r="C28"/>
  <c r="C29"/>
  <c r="C30"/>
  <c r="K1" i="48"/>
  <c r="F2" s="1"/>
  <c r="K1" i="47"/>
  <c r="F2" s="1"/>
  <c r="K1" i="46"/>
  <c r="F2" s="1"/>
  <c r="K1" i="45"/>
  <c r="F2" s="1"/>
  <c r="E1" i="43"/>
  <c r="A22" s="1"/>
  <c r="C70" i="3"/>
  <c r="C69"/>
  <c r="C68"/>
  <c r="E39" i="4"/>
  <c r="D39"/>
  <c r="D36" i="49"/>
  <c r="D30"/>
  <c r="E30"/>
  <c r="E70" i="21" s="1"/>
  <c r="E73" s="1"/>
  <c r="D29" i="49"/>
  <c r="E29"/>
  <c r="E30" i="21" s="1"/>
  <c r="E33" s="1"/>
  <c r="D28" i="49"/>
  <c r="E28"/>
  <c r="E70" i="20" s="1"/>
  <c r="E73" s="1"/>
  <c r="D27" i="49"/>
  <c r="E27"/>
  <c r="E30" i="20" s="1"/>
  <c r="E33" s="1"/>
  <c r="D26" i="49"/>
  <c r="E26"/>
  <c r="E70" i="19" s="1"/>
  <c r="E73" s="1"/>
  <c r="D25" i="49"/>
  <c r="E25"/>
  <c r="E30" i="19" s="1"/>
  <c r="E33" s="1"/>
  <c r="D24" i="49"/>
  <c r="E24"/>
  <c r="E70" i="18" s="1"/>
  <c r="E73" s="1"/>
  <c r="D23" i="49"/>
  <c r="E23"/>
  <c r="E30" i="18" s="1"/>
  <c r="E33" s="1"/>
  <c r="D22" i="49"/>
  <c r="E22"/>
  <c r="E70" i="17" s="1"/>
  <c r="E73" s="1"/>
  <c r="D21" i="49"/>
  <c r="E21"/>
  <c r="E30" i="17" s="1"/>
  <c r="E33" s="1"/>
  <c r="D20" i="49"/>
  <c r="E20"/>
  <c r="E70" i="16" s="1"/>
  <c r="E73" s="1"/>
  <c r="D19" i="49"/>
  <c r="E19"/>
  <c r="E30" i="16" s="1"/>
  <c r="E33" s="1"/>
  <c r="D18" i="49"/>
  <c r="E18"/>
  <c r="E70" i="15" s="1"/>
  <c r="E73" s="1"/>
  <c r="D17" i="49"/>
  <c r="E17"/>
  <c r="E30" i="15" s="1"/>
  <c r="E33" s="1"/>
  <c r="D32" i="3" s="1"/>
  <c r="D16" i="49"/>
  <c r="E16"/>
  <c r="E70" i="14" s="1"/>
  <c r="E73" s="1"/>
  <c r="D31" i="3" s="1"/>
  <c r="D15" i="49"/>
  <c r="E15"/>
  <c r="E30" i="14" s="1"/>
  <c r="E33" s="1"/>
  <c r="D30" i="3" s="1"/>
  <c r="D14" i="49"/>
  <c r="E14"/>
  <c r="E70" i="13" s="1"/>
  <c r="E73" s="1"/>
  <c r="D29" i="3" s="1"/>
  <c r="D13" i="49"/>
  <c r="E13"/>
  <c r="E30" i="13" s="1"/>
  <c r="E33" s="1"/>
  <c r="D28" i="3" s="1"/>
  <c r="D12" i="49"/>
  <c r="E12"/>
  <c r="E70" i="12" s="1"/>
  <c r="E73" s="1"/>
  <c r="D27" i="3" s="1"/>
  <c r="D11" i="49"/>
  <c r="E11"/>
  <c r="E30" i="12" s="1"/>
  <c r="E33" s="1"/>
  <c r="D26" i="3" s="1"/>
  <c r="D10" i="49"/>
  <c r="E10"/>
  <c r="E71" i="10" s="1"/>
  <c r="E74" s="1"/>
  <c r="D25" i="3" s="1"/>
  <c r="D9" i="49"/>
  <c r="E9"/>
  <c r="E31" i="10" s="1"/>
  <c r="E34" s="1"/>
  <c r="D24" i="3" s="1"/>
  <c r="D8" i="49"/>
  <c r="E8"/>
  <c r="E108" i="44" s="1"/>
  <c r="D7" i="49"/>
  <c r="E7"/>
  <c r="E47" i="42" s="1"/>
  <c r="E50" s="1"/>
  <c r="D6" i="49"/>
  <c r="E6"/>
  <c r="D38"/>
  <c r="D40" s="1"/>
  <c r="C23" i="3"/>
  <c r="D95" i="8"/>
  <c r="D17" i="27"/>
  <c r="C12" i="11"/>
  <c r="D66" i="44"/>
  <c r="C18" i="11"/>
  <c r="D67" i="44"/>
  <c r="D19" i="27"/>
  <c r="D20"/>
  <c r="D21"/>
  <c r="D22"/>
  <c r="D23"/>
  <c r="D24"/>
  <c r="D25"/>
  <c r="D26"/>
  <c r="D27"/>
  <c r="D28"/>
  <c r="D29"/>
  <c r="D30"/>
  <c r="D31"/>
  <c r="D32"/>
  <c r="D33"/>
  <c r="D34"/>
  <c r="D35"/>
  <c r="D36"/>
  <c r="D39"/>
  <c r="D40"/>
  <c r="D41"/>
  <c r="D42"/>
  <c r="D43"/>
  <c r="D44"/>
  <c r="D45"/>
  <c r="D46"/>
  <c r="D47"/>
  <c r="D48"/>
  <c r="D49"/>
  <c r="D51"/>
  <c r="D52"/>
  <c r="D53"/>
  <c r="D54"/>
  <c r="D55"/>
  <c r="D50"/>
  <c r="D56"/>
  <c r="K28" i="46"/>
  <c r="B58" i="27" s="1"/>
  <c r="K28" i="47"/>
  <c r="B59" i="27"/>
  <c r="K28" i="48"/>
  <c r="B60" i="27"/>
  <c r="B13" i="9"/>
  <c r="C65" i="8" s="1"/>
  <c r="C95"/>
  <c r="B17" i="27"/>
  <c r="B12" i="11"/>
  <c r="C66" i="44" s="1"/>
  <c r="B18" i="11"/>
  <c r="C67" i="44"/>
  <c r="B19" i="27"/>
  <c r="B20"/>
  <c r="B22"/>
  <c r="B23"/>
  <c r="B24"/>
  <c r="B25"/>
  <c r="B26"/>
  <c r="B27"/>
  <c r="B28"/>
  <c r="B29"/>
  <c r="B31"/>
  <c r="B32"/>
  <c r="B33"/>
  <c r="B34"/>
  <c r="B35"/>
  <c r="B36"/>
  <c r="B39"/>
  <c r="B40"/>
  <c r="B42"/>
  <c r="B43"/>
  <c r="B44"/>
  <c r="B45"/>
  <c r="B46"/>
  <c r="B49"/>
  <c r="B51"/>
  <c r="B52"/>
  <c r="B53"/>
  <c r="B55"/>
  <c r="B50"/>
  <c r="B56"/>
  <c r="B47" i="11"/>
  <c r="C120" i="44"/>
  <c r="C22" i="3"/>
  <c r="E34" i="38"/>
  <c r="F36"/>
  <c r="G38"/>
  <c r="E14" i="8"/>
  <c r="E15"/>
  <c r="E13"/>
  <c r="E95"/>
  <c r="D12" i="11"/>
  <c r="E66" i="44"/>
  <c r="D18" i="11"/>
  <c r="E67" i="44"/>
  <c r="J1" i="33"/>
  <c r="B19" s="1"/>
  <c r="A7" i="39"/>
  <c r="A9"/>
  <c r="E5" i="49"/>
  <c r="B6"/>
  <c r="B7"/>
  <c r="B8"/>
  <c r="B9"/>
  <c r="B10"/>
  <c r="B11"/>
  <c r="B12"/>
  <c r="B13"/>
  <c r="B14"/>
  <c r="B15"/>
  <c r="B16"/>
  <c r="B17"/>
  <c r="B18"/>
  <c r="B19"/>
  <c r="B20"/>
  <c r="B21"/>
  <c r="B22"/>
  <c r="B23"/>
  <c r="B24"/>
  <c r="B25"/>
  <c r="B26"/>
  <c r="B27"/>
  <c r="B28"/>
  <c r="B29"/>
  <c r="B30"/>
  <c r="C31"/>
  <c r="I1" i="28"/>
  <c r="B5" s="1"/>
  <c r="I8"/>
  <c r="I9"/>
  <c r="I10"/>
  <c r="I11"/>
  <c r="I12"/>
  <c r="I13"/>
  <c r="I14"/>
  <c r="I15"/>
  <c r="I16"/>
  <c r="I17"/>
  <c r="I18"/>
  <c r="I19"/>
  <c r="I20"/>
  <c r="I21"/>
  <c r="I22"/>
  <c r="I23"/>
  <c r="I24"/>
  <c r="I25"/>
  <c r="I26"/>
  <c r="I27"/>
  <c r="I28"/>
  <c r="I29"/>
  <c r="I30"/>
  <c r="I31"/>
  <c r="I32"/>
  <c r="I33"/>
  <c r="I34"/>
  <c r="I35"/>
  <c r="I36"/>
  <c r="B37"/>
  <c r="C37"/>
  <c r="D37"/>
  <c r="E37"/>
  <c r="F37"/>
  <c r="G37"/>
  <c r="H1" i="27"/>
  <c r="D13" s="1"/>
  <c r="A16"/>
  <c r="C16"/>
  <c r="E16"/>
  <c r="F65"/>
  <c r="M52" s="1"/>
  <c r="A17"/>
  <c r="C17"/>
  <c r="E17"/>
  <c r="G62" i="42" s="1"/>
  <c r="A18" i="27"/>
  <c r="C18"/>
  <c r="E18"/>
  <c r="G123" i="44" s="1"/>
  <c r="A19" i="27"/>
  <c r="C19"/>
  <c r="E19"/>
  <c r="G45" i="10" s="1"/>
  <c r="A20" i="27"/>
  <c r="C20"/>
  <c r="E20"/>
  <c r="G85" i="10" s="1"/>
  <c r="A21" i="27"/>
  <c r="C21"/>
  <c r="E21"/>
  <c r="G44" i="12" s="1"/>
  <c r="A22" i="27"/>
  <c r="C22"/>
  <c r="E22"/>
  <c r="G84" i="12" s="1"/>
  <c r="A23" i="27"/>
  <c r="C23"/>
  <c r="E23"/>
  <c r="G44" i="13" s="1"/>
  <c r="A24" i="27"/>
  <c r="C24"/>
  <c r="E24"/>
  <c r="G84" i="13" s="1"/>
  <c r="A25" i="27"/>
  <c r="C25"/>
  <c r="E25"/>
  <c r="G44" i="14" s="1"/>
  <c r="A26" i="27"/>
  <c r="C26"/>
  <c r="E26"/>
  <c r="G84" i="14" s="1"/>
  <c r="A27" i="27"/>
  <c r="C27"/>
  <c r="E27"/>
  <c r="G44" i="15" s="1"/>
  <c r="A28" i="27"/>
  <c r="C28"/>
  <c r="E28"/>
  <c r="G84" i="15" s="1"/>
  <c r="A29" i="27"/>
  <c r="C29"/>
  <c r="E29"/>
  <c r="G44" i="16" s="1"/>
  <c r="A30" i="27"/>
  <c r="C30"/>
  <c r="E30"/>
  <c r="G84" i="16" s="1"/>
  <c r="A31" i="27"/>
  <c r="C31"/>
  <c r="E31"/>
  <c r="G44" i="17" s="1"/>
  <c r="A32" i="27"/>
  <c r="C32"/>
  <c r="E32"/>
  <c r="G84" i="17" s="1"/>
  <c r="A33" i="27"/>
  <c r="C33"/>
  <c r="E33"/>
  <c r="G44" i="18" s="1"/>
  <c r="A34" i="27"/>
  <c r="C34"/>
  <c r="E34"/>
  <c r="G84" i="18" s="1"/>
  <c r="A35" i="27"/>
  <c r="C35"/>
  <c r="E35"/>
  <c r="G44" i="19" s="1"/>
  <c r="A36" i="27"/>
  <c r="C36"/>
  <c r="E36"/>
  <c r="G84" i="19" s="1"/>
  <c r="A37" i="27"/>
  <c r="C37"/>
  <c r="E37"/>
  <c r="G44" i="20" s="1"/>
  <c r="A38" i="27"/>
  <c r="C38"/>
  <c r="E38"/>
  <c r="G84" i="20" s="1"/>
  <c r="A39" i="27"/>
  <c r="C39"/>
  <c r="E39"/>
  <c r="G44" i="21" s="1"/>
  <c r="A40" i="27"/>
  <c r="C40"/>
  <c r="E40"/>
  <c r="G84" i="21" s="1"/>
  <c r="A41" i="27"/>
  <c r="F41"/>
  <c r="A42"/>
  <c r="F42"/>
  <c r="A43"/>
  <c r="F43"/>
  <c r="A44"/>
  <c r="F44"/>
  <c r="F45"/>
  <c r="F46"/>
  <c r="F47"/>
  <c r="A48"/>
  <c r="F48"/>
  <c r="A49"/>
  <c r="F49"/>
  <c r="A50"/>
  <c r="F50"/>
  <c r="A51"/>
  <c r="F51"/>
  <c r="A52"/>
  <c r="F52"/>
  <c r="A53"/>
  <c r="F53"/>
  <c r="A54"/>
  <c r="F54"/>
  <c r="A55"/>
  <c r="F55"/>
  <c r="A56"/>
  <c r="F56"/>
  <c r="A57"/>
  <c r="A58"/>
  <c r="A59"/>
  <c r="A60"/>
  <c r="C27" i="6"/>
  <c r="C29" s="1"/>
  <c r="B62" i="27" s="1"/>
  <c r="D27" i="6"/>
  <c r="D29" s="1"/>
  <c r="D62" i="27" s="1"/>
  <c r="E27" i="6"/>
  <c r="E29" s="1"/>
  <c r="F62" i="27" s="1"/>
  <c r="B64"/>
  <c r="B65"/>
  <c r="D65"/>
  <c r="B69"/>
  <c r="D69"/>
  <c r="G19" i="29"/>
  <c r="F69" i="27"/>
  <c r="B70"/>
  <c r="D70"/>
  <c r="G27" i="29"/>
  <c r="F70" i="27" s="1"/>
  <c r="B71"/>
  <c r="D71"/>
  <c r="G36" i="29"/>
  <c r="F71" i="27"/>
  <c r="B72"/>
  <c r="D72"/>
  <c r="G37" i="30"/>
  <c r="F72" i="27" s="1"/>
  <c r="A5" i="48"/>
  <c r="C5"/>
  <c r="E5"/>
  <c r="G5"/>
  <c r="I5"/>
  <c r="K7"/>
  <c r="K30"/>
  <c r="K17"/>
  <c r="A5" i="47"/>
  <c r="C5"/>
  <c r="E5"/>
  <c r="G5"/>
  <c r="I5"/>
  <c r="K7"/>
  <c r="K17"/>
  <c r="A5" i="46"/>
  <c r="C5"/>
  <c r="E5"/>
  <c r="G5"/>
  <c r="I5"/>
  <c r="K7"/>
  <c r="K17"/>
  <c r="A5" i="45"/>
  <c r="C5"/>
  <c r="E5"/>
  <c r="G5"/>
  <c r="I5"/>
  <c r="K7"/>
  <c r="K17"/>
  <c r="C5" i="37"/>
  <c r="C36" s="1"/>
  <c r="D5"/>
  <c r="D36" s="1"/>
  <c r="E5"/>
  <c r="E36" s="1"/>
  <c r="B6"/>
  <c r="C14"/>
  <c r="D14"/>
  <c r="E14"/>
  <c r="C28"/>
  <c r="D28"/>
  <c r="E28"/>
  <c r="B37"/>
  <c r="C45"/>
  <c r="D45"/>
  <c r="E45"/>
  <c r="C59"/>
  <c r="D59"/>
  <c r="E59"/>
  <c r="C5" i="35"/>
  <c r="C36" s="1"/>
  <c r="D5"/>
  <c r="D36" s="1"/>
  <c r="E5"/>
  <c r="E36" s="1"/>
  <c r="B6"/>
  <c r="C14"/>
  <c r="D14"/>
  <c r="E14"/>
  <c r="C28"/>
  <c r="D28"/>
  <c r="E28"/>
  <c r="B37"/>
  <c r="C45"/>
  <c r="D45"/>
  <c r="E45"/>
  <c r="C59"/>
  <c r="D59"/>
  <c r="E59"/>
  <c r="C5" i="36"/>
  <c r="C37" s="1"/>
  <c r="D5"/>
  <c r="D37" s="1"/>
  <c r="E5"/>
  <c r="E37" s="1"/>
  <c r="B6"/>
  <c r="C15"/>
  <c r="D15"/>
  <c r="E15"/>
  <c r="C29"/>
  <c r="D29"/>
  <c r="E29"/>
  <c r="B38"/>
  <c r="D46"/>
  <c r="E46"/>
  <c r="C60"/>
  <c r="D60"/>
  <c r="E60"/>
  <c r="C5" i="26"/>
  <c r="C36" s="1"/>
  <c r="D5"/>
  <c r="D36" s="1"/>
  <c r="E5"/>
  <c r="E36" s="1"/>
  <c r="B6"/>
  <c r="C14"/>
  <c r="D14"/>
  <c r="E14"/>
  <c r="C28"/>
  <c r="D28"/>
  <c r="E28"/>
  <c r="B37"/>
  <c r="C45"/>
  <c r="D45"/>
  <c r="E45"/>
  <c r="C59"/>
  <c r="D59"/>
  <c r="E59"/>
  <c r="C5" i="25"/>
  <c r="C36" s="1"/>
  <c r="D5"/>
  <c r="D36" s="1"/>
  <c r="E5"/>
  <c r="E36" s="1"/>
  <c r="C15"/>
  <c r="C16" s="1"/>
  <c r="D15"/>
  <c r="D14" s="1"/>
  <c r="E15"/>
  <c r="E14"/>
  <c r="D28"/>
  <c r="E28"/>
  <c r="B37"/>
  <c r="C45"/>
  <c r="D45"/>
  <c r="E45"/>
  <c r="C59"/>
  <c r="D59"/>
  <c r="E59"/>
  <c r="C5" i="24"/>
  <c r="C36" s="1"/>
  <c r="D5"/>
  <c r="D36" s="1"/>
  <c r="E5"/>
  <c r="E36" s="1"/>
  <c r="C14"/>
  <c r="D14"/>
  <c r="E14"/>
  <c r="C28"/>
  <c r="D28"/>
  <c r="E28"/>
  <c r="C45"/>
  <c r="D45"/>
  <c r="E45"/>
  <c r="D59"/>
  <c r="E59"/>
  <c r="C5" i="23"/>
  <c r="C36" s="1"/>
  <c r="D5"/>
  <c r="D36" s="1"/>
  <c r="E5"/>
  <c r="E36" s="1"/>
  <c r="B6"/>
  <c r="C15"/>
  <c r="C16" s="1"/>
  <c r="C30" s="1"/>
  <c r="D15"/>
  <c r="D14" s="1"/>
  <c r="E15"/>
  <c r="E14" s="1"/>
  <c r="C28"/>
  <c r="D28"/>
  <c r="E28"/>
  <c r="B37"/>
  <c r="C45"/>
  <c r="D45"/>
  <c r="E45"/>
  <c r="C59"/>
  <c r="D59"/>
  <c r="E59"/>
  <c r="C5" i="22"/>
  <c r="C36" s="1"/>
  <c r="D5"/>
  <c r="D36" s="1"/>
  <c r="E5"/>
  <c r="E36" s="1"/>
  <c r="B6"/>
  <c r="C14"/>
  <c r="D14"/>
  <c r="E14"/>
  <c r="D28"/>
  <c r="E28"/>
  <c r="B37"/>
  <c r="C45"/>
  <c r="D45"/>
  <c r="E45"/>
  <c r="C59"/>
  <c r="D59"/>
  <c r="E59"/>
  <c r="C42" i="21"/>
  <c r="D42"/>
  <c r="E42"/>
  <c r="B5"/>
  <c r="C19"/>
  <c r="C32"/>
  <c r="D32"/>
  <c r="B43"/>
  <c r="C59"/>
  <c r="C72"/>
  <c r="D72"/>
  <c r="E42" i="19"/>
  <c r="B5"/>
  <c r="C19"/>
  <c r="C32"/>
  <c r="D32"/>
  <c r="B43"/>
  <c r="C59"/>
  <c r="C72"/>
  <c r="D72"/>
  <c r="E42" i="18"/>
  <c r="B5"/>
  <c r="C19"/>
  <c r="C32"/>
  <c r="D32"/>
  <c r="B43"/>
  <c r="C59"/>
  <c r="C72"/>
  <c r="D72"/>
  <c r="E42" i="17"/>
  <c r="B5"/>
  <c r="C19"/>
  <c r="C32"/>
  <c r="D32"/>
  <c r="B43"/>
  <c r="C59"/>
  <c r="C72"/>
  <c r="D72"/>
  <c r="E42" i="16"/>
  <c r="B5"/>
  <c r="C19"/>
  <c r="C32"/>
  <c r="D32"/>
  <c r="B43"/>
  <c r="C59"/>
  <c r="D72"/>
  <c r="E42" i="15"/>
  <c r="B5"/>
  <c r="C32"/>
  <c r="D32"/>
  <c r="B43"/>
  <c r="C59"/>
  <c r="C72"/>
  <c r="D72"/>
  <c r="E42" i="14"/>
  <c r="B5"/>
  <c r="C19"/>
  <c r="D32"/>
  <c r="B43"/>
  <c r="C59"/>
  <c r="C72"/>
  <c r="D72"/>
  <c r="E42" i="13"/>
  <c r="B5"/>
  <c r="C19"/>
  <c r="C32"/>
  <c r="D32"/>
  <c r="B43"/>
  <c r="C59"/>
  <c r="C72"/>
  <c r="D72"/>
  <c r="E42" i="12"/>
  <c r="B5"/>
  <c r="D32"/>
  <c r="B43"/>
  <c r="C59"/>
  <c r="D72"/>
  <c r="B5" i="10"/>
  <c r="C20"/>
  <c r="C33"/>
  <c r="D33"/>
  <c r="B44"/>
  <c r="C73"/>
  <c r="D73"/>
  <c r="D1" i="11"/>
  <c r="B5" s="1"/>
  <c r="B24"/>
  <c r="C68" i="44"/>
  <c r="C24" i="11"/>
  <c r="D68" i="44"/>
  <c r="D24" i="11"/>
  <c r="E68" i="44"/>
  <c r="E72" s="1"/>
  <c r="B30" i="11"/>
  <c r="C69" i="44"/>
  <c r="C30" i="11"/>
  <c r="D69" i="44"/>
  <c r="D30" i="11"/>
  <c r="E69" i="44"/>
  <c r="B36" i="11"/>
  <c r="C70" i="44"/>
  <c r="C36" i="11"/>
  <c r="D70" i="44"/>
  <c r="D36" i="11"/>
  <c r="E70" i="44"/>
  <c r="B42" i="11"/>
  <c r="C71" i="44"/>
  <c r="C42" i="11"/>
  <c r="D71" i="44"/>
  <c r="D42" i="11"/>
  <c r="E71" i="44"/>
  <c r="B43" i="11"/>
  <c r="D43"/>
  <c r="B5" i="44"/>
  <c r="E59"/>
  <c r="D63" s="1"/>
  <c r="B63"/>
  <c r="B66"/>
  <c r="B67"/>
  <c r="B68"/>
  <c r="B69"/>
  <c r="B70"/>
  <c r="B71"/>
  <c r="B6" i="42"/>
  <c r="C25"/>
  <c r="C49"/>
  <c r="D49"/>
  <c r="D1" i="9"/>
  <c r="D61" s="1"/>
  <c r="B64"/>
  <c r="C64"/>
  <c r="D122"/>
  <c r="C13"/>
  <c r="D65" i="8" s="1"/>
  <c r="D13" i="9"/>
  <c r="E65" i="8" s="1"/>
  <c r="B19" i="9"/>
  <c r="C66" i="8" s="1"/>
  <c r="C19" i="9"/>
  <c r="D66" i="8" s="1"/>
  <c r="D19" i="9"/>
  <c r="E66" i="8" s="1"/>
  <c r="B25" i="9"/>
  <c r="C67" i="8" s="1"/>
  <c r="C25" i="9"/>
  <c r="D67" i="8" s="1"/>
  <c r="D25" i="9"/>
  <c r="E67" i="8" s="1"/>
  <c r="B31" i="9"/>
  <c r="C68" i="8" s="1"/>
  <c r="C31" i="9"/>
  <c r="D68" i="8" s="1"/>
  <c r="D31" i="9"/>
  <c r="E68" i="8" s="1"/>
  <c r="B37" i="9"/>
  <c r="C69" i="8" s="1"/>
  <c r="C37" i="9"/>
  <c r="D69" i="8" s="1"/>
  <c r="D37" i="9"/>
  <c r="E69" i="8" s="1"/>
  <c r="B43" i="9"/>
  <c r="C70" i="8" s="1"/>
  <c r="C43" i="9"/>
  <c r="D70" i="8" s="1"/>
  <c r="D43" i="9"/>
  <c r="E70" i="8" s="1"/>
  <c r="B49" i="9"/>
  <c r="C71" i="8" s="1"/>
  <c r="C49" i="9"/>
  <c r="D71" i="8" s="1"/>
  <c r="D49" i="9"/>
  <c r="E71" i="8" s="1"/>
  <c r="B55" i="9"/>
  <c r="C72" i="8" s="1"/>
  <c r="C55" i="9"/>
  <c r="D72" i="8" s="1"/>
  <c r="D55" i="9"/>
  <c r="E72" i="8" s="1"/>
  <c r="D64" i="9"/>
  <c r="B72"/>
  <c r="C73" i="8" s="1"/>
  <c r="C72" i="9"/>
  <c r="D73" i="8" s="1"/>
  <c r="D72" i="9"/>
  <c r="E73" i="8" s="1"/>
  <c r="B78" i="9"/>
  <c r="C74" i="8" s="1"/>
  <c r="C78" i="9"/>
  <c r="D74" i="8" s="1"/>
  <c r="D78" i="9"/>
  <c r="E74" i="8" s="1"/>
  <c r="B84" i="9"/>
  <c r="C75" i="8" s="1"/>
  <c r="C84" i="9"/>
  <c r="D75" i="8" s="1"/>
  <c r="D84" i="9"/>
  <c r="E75" i="8" s="1"/>
  <c r="B90" i="9"/>
  <c r="C76" i="8" s="1"/>
  <c r="C90" i="9"/>
  <c r="D76" i="8" s="1"/>
  <c r="D90" i="9"/>
  <c r="E76" i="8" s="1"/>
  <c r="B96" i="9"/>
  <c r="C77" i="8" s="1"/>
  <c r="C96" i="9"/>
  <c r="D77" i="8" s="1"/>
  <c r="D96" i="9"/>
  <c r="E77" i="8" s="1"/>
  <c r="B102" i="9"/>
  <c r="C78" i="8" s="1"/>
  <c r="C102" i="9"/>
  <c r="D78" i="8" s="1"/>
  <c r="D102" i="9"/>
  <c r="E78" i="8" s="1"/>
  <c r="B108" i="9"/>
  <c r="C79" i="8" s="1"/>
  <c r="C108" i="9"/>
  <c r="D79" i="8" s="1"/>
  <c r="D108" i="9"/>
  <c r="E79" i="8" s="1"/>
  <c r="B114" i="9"/>
  <c r="C80" i="8" s="1"/>
  <c r="C114" i="9"/>
  <c r="D80" i="8" s="1"/>
  <c r="D114" i="9"/>
  <c r="E80" i="8" s="1"/>
  <c r="B122" i="9"/>
  <c r="B132"/>
  <c r="C81" i="8" s="1"/>
  <c r="C132" i="9"/>
  <c r="D81" i="8" s="1"/>
  <c r="D132" i="9"/>
  <c r="E81" i="8" s="1"/>
  <c r="B138" i="9"/>
  <c r="C82" i="8" s="1"/>
  <c r="C138" i="9"/>
  <c r="D138"/>
  <c r="E82" i="8" s="1"/>
  <c r="B144" i="9"/>
  <c r="C144"/>
  <c r="D83" i="8" s="1"/>
  <c r="D144" i="9"/>
  <c r="E83" i="8" s="1"/>
  <c r="B150" i="9"/>
  <c r="C84" i="8" s="1"/>
  <c r="C150" i="9"/>
  <c r="D84" i="8" s="1"/>
  <c r="D150" i="9"/>
  <c r="E84" i="8" s="1"/>
  <c r="B156" i="9"/>
  <c r="C85" i="8" s="1"/>
  <c r="C156" i="9"/>
  <c r="D85" i="8" s="1"/>
  <c r="D156" i="9"/>
  <c r="E85" i="8" s="1"/>
  <c r="B162" i="9"/>
  <c r="C86" i="8" s="1"/>
  <c r="C162" i="9"/>
  <c r="D86" i="8" s="1"/>
  <c r="D162" i="9"/>
  <c r="E86" i="8" s="1"/>
  <c r="B168" i="9"/>
  <c r="C168"/>
  <c r="D87" i="8" s="1"/>
  <c r="D168" i="9"/>
  <c r="E87" i="8" s="1"/>
  <c r="B174" i="9"/>
  <c r="C88" i="8" s="1"/>
  <c r="C174" i="9"/>
  <c r="D88" i="8" s="1"/>
  <c r="D174" i="9"/>
  <c r="E88" i="8" s="1"/>
  <c r="B190" i="9"/>
  <c r="C89" i="8" s="1"/>
  <c r="C190" i="9"/>
  <c r="D89" i="8" s="1"/>
  <c r="D190" i="9"/>
  <c r="E89" i="8" s="1"/>
  <c r="B196" i="9"/>
  <c r="C90" i="8" s="1"/>
  <c r="C196" i="9"/>
  <c r="D90" i="8" s="1"/>
  <c r="D196" i="9"/>
  <c r="E90" i="8" s="1"/>
  <c r="B202" i="9"/>
  <c r="C91" i="8" s="1"/>
  <c r="C202" i="9"/>
  <c r="D91" i="8" s="1"/>
  <c r="D202" i="9"/>
  <c r="E91" i="8" s="1"/>
  <c r="B209" i="9"/>
  <c r="C92" i="8" s="1"/>
  <c r="C209" i="9"/>
  <c r="D92" i="8" s="1"/>
  <c r="D209" i="9"/>
  <c r="E92" i="8" s="1"/>
  <c r="B215" i="9"/>
  <c r="C93" i="8" s="1"/>
  <c r="C215" i="9"/>
  <c r="D93" i="8" s="1"/>
  <c r="D215" i="9"/>
  <c r="E93" i="8" s="1"/>
  <c r="B221" i="9"/>
  <c r="C94" i="8" s="1"/>
  <c r="C221" i="9"/>
  <c r="D94" i="8" s="1"/>
  <c r="D221" i="9"/>
  <c r="E94" i="8" s="1"/>
  <c r="B224" i="9"/>
  <c r="C224"/>
  <c r="D224"/>
  <c r="B230"/>
  <c r="C96" i="8" s="1"/>
  <c r="C230" i="9"/>
  <c r="D96" i="8" s="1"/>
  <c r="D230" i="9"/>
  <c r="E96" i="8" s="1"/>
  <c r="B236" i="9"/>
  <c r="C97" i="8" s="1"/>
  <c r="C236" i="9"/>
  <c r="D97" i="8" s="1"/>
  <c r="D236" i="9"/>
  <c r="E97" i="8" s="1"/>
  <c r="D244" i="9"/>
  <c r="B252"/>
  <c r="C98" i="8" s="1"/>
  <c r="C252" i="9"/>
  <c r="D252"/>
  <c r="E98" i="8" s="1"/>
  <c r="B258" i="9"/>
  <c r="C99" i="8" s="1"/>
  <c r="C258" i="9"/>
  <c r="D99" i="8" s="1"/>
  <c r="D258" i="9"/>
  <c r="E99" i="8" s="1"/>
  <c r="B264" i="9"/>
  <c r="C100" i="8" s="1"/>
  <c r="C264" i="9"/>
  <c r="D100" i="8" s="1"/>
  <c r="D264" i="9"/>
  <c r="E100" i="8" s="1"/>
  <c r="B270" i="9"/>
  <c r="C101" i="8" s="1"/>
  <c r="C270" i="9"/>
  <c r="D101" i="8" s="1"/>
  <c r="D270" i="9"/>
  <c r="E101" i="8" s="1"/>
  <c r="B274" i="9"/>
  <c r="C102" i="8" s="1"/>
  <c r="C274" i="9"/>
  <c r="D102" i="8" s="1"/>
  <c r="D274" i="9"/>
  <c r="E102" i="8" s="1"/>
  <c r="B280" i="9"/>
  <c r="C103" i="8" s="1"/>
  <c r="C280" i="9"/>
  <c r="D103" i="8" s="1"/>
  <c r="D280" i="9"/>
  <c r="E103" i="8" s="1"/>
  <c r="B286" i="9"/>
  <c r="C104" i="8" s="1"/>
  <c r="C286" i="9"/>
  <c r="D286"/>
  <c r="E104" i="8"/>
  <c r="B5"/>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I1" i="30"/>
  <c r="G9" s="1"/>
  <c r="H37"/>
  <c r="I37"/>
  <c r="M1" i="29"/>
  <c r="L6" s="1"/>
  <c r="J19"/>
  <c r="K19"/>
  <c r="L19"/>
  <c r="M19"/>
  <c r="J27"/>
  <c r="J37" s="1"/>
  <c r="K27"/>
  <c r="L27"/>
  <c r="L37" s="1"/>
  <c r="M27"/>
  <c r="M37" s="1"/>
  <c r="J36"/>
  <c r="K36"/>
  <c r="L36"/>
  <c r="M36"/>
  <c r="G37"/>
  <c r="K37"/>
  <c r="F2" i="6"/>
  <c r="C9" s="1"/>
  <c r="I1" i="38"/>
  <c r="B7"/>
  <c r="D7"/>
  <c r="B8"/>
  <c r="D8"/>
  <c r="B9"/>
  <c r="D9"/>
  <c r="B10"/>
  <c r="D10"/>
  <c r="B11"/>
  <c r="D11"/>
  <c r="B12"/>
  <c r="D12"/>
  <c r="B13"/>
  <c r="D13"/>
  <c r="B14"/>
  <c r="D14"/>
  <c r="B15"/>
  <c r="D15"/>
  <c r="B16"/>
  <c r="D16"/>
  <c r="B17"/>
  <c r="D17"/>
  <c r="B18"/>
  <c r="D18"/>
  <c r="B19"/>
  <c r="D19"/>
  <c r="B20"/>
  <c r="D20"/>
  <c r="B21"/>
  <c r="D21"/>
  <c r="B22"/>
  <c r="D22"/>
  <c r="B23"/>
  <c r="D23"/>
  <c r="B24"/>
  <c r="D24"/>
  <c r="B25"/>
  <c r="D25"/>
  <c r="B26"/>
  <c r="D26"/>
  <c r="B27"/>
  <c r="D27"/>
  <c r="B28"/>
  <c r="D28"/>
  <c r="B29"/>
  <c r="D29"/>
  <c r="B30"/>
  <c r="D30"/>
  <c r="B31"/>
  <c r="D31"/>
  <c r="A3" i="33"/>
  <c r="B11"/>
  <c r="B23"/>
  <c r="E23"/>
  <c r="B33"/>
  <c r="G3" i="4"/>
  <c r="D6" s="1"/>
  <c r="G10"/>
  <c r="G11"/>
  <c r="G12"/>
  <c r="G13"/>
  <c r="G14"/>
  <c r="G15"/>
  <c r="G16"/>
  <c r="G17"/>
  <c r="G18"/>
  <c r="G19"/>
  <c r="G20"/>
  <c r="G21"/>
  <c r="G22"/>
  <c r="G23"/>
  <c r="G24"/>
  <c r="G25"/>
  <c r="G26"/>
  <c r="G27"/>
  <c r="G28"/>
  <c r="G29"/>
  <c r="G30"/>
  <c r="G31"/>
  <c r="G32"/>
  <c r="G33"/>
  <c r="G34"/>
  <c r="G35"/>
  <c r="G36"/>
  <c r="G37"/>
  <c r="G38"/>
  <c r="F3" i="3"/>
  <c r="A10" s="1"/>
  <c r="A21"/>
  <c r="B21"/>
  <c r="A22"/>
  <c r="B22"/>
  <c r="A23"/>
  <c r="B23"/>
  <c r="A24"/>
  <c r="B24"/>
  <c r="C24"/>
  <c r="A25"/>
  <c r="B25"/>
  <c r="C25"/>
  <c r="A26"/>
  <c r="B26"/>
  <c r="C26"/>
  <c r="A27"/>
  <c r="B27"/>
  <c r="C27"/>
  <c r="A28"/>
  <c r="B28"/>
  <c r="C28"/>
  <c r="A29"/>
  <c r="B29"/>
  <c r="C29"/>
  <c r="A30"/>
  <c r="B30"/>
  <c r="C30"/>
  <c r="A31"/>
  <c r="B31"/>
  <c r="C31"/>
  <c r="A32"/>
  <c r="B32"/>
  <c r="C32"/>
  <c r="A33"/>
  <c r="B33"/>
  <c r="C33"/>
  <c r="A34"/>
  <c r="B34"/>
  <c r="C34"/>
  <c r="A35"/>
  <c r="B35"/>
  <c r="C35"/>
  <c r="A36"/>
  <c r="B36"/>
  <c r="C36"/>
  <c r="A37"/>
  <c r="B37"/>
  <c r="C37"/>
  <c r="A38"/>
  <c r="B38"/>
  <c r="C38"/>
  <c r="A39"/>
  <c r="B39"/>
  <c r="C39"/>
  <c r="A40"/>
  <c r="B40"/>
  <c r="C40"/>
  <c r="A41"/>
  <c r="B41"/>
  <c r="C41"/>
  <c r="A42"/>
  <c r="B42"/>
  <c r="A43"/>
  <c r="B43"/>
  <c r="A44"/>
  <c r="B44"/>
  <c r="C44"/>
  <c r="A45"/>
  <c r="B45"/>
  <c r="C45"/>
  <c r="A46"/>
  <c r="C46"/>
  <c r="D46"/>
  <c r="A47"/>
  <c r="C47"/>
  <c r="D47"/>
  <c r="A48"/>
  <c r="C48"/>
  <c r="D48"/>
  <c r="A49"/>
  <c r="C49"/>
  <c r="D49"/>
  <c r="C50"/>
  <c r="D50"/>
  <c r="C51"/>
  <c r="D51"/>
  <c r="C52"/>
  <c r="D52"/>
  <c r="A53"/>
  <c r="C53"/>
  <c r="D53"/>
  <c r="A54"/>
  <c r="C54"/>
  <c r="D54"/>
  <c r="A55"/>
  <c r="C55"/>
  <c r="D55"/>
  <c r="A56"/>
  <c r="C56"/>
  <c r="D56"/>
  <c r="A57"/>
  <c r="C57"/>
  <c r="D57"/>
  <c r="A58"/>
  <c r="C58"/>
  <c r="D58"/>
  <c r="A59"/>
  <c r="C59"/>
  <c r="D59"/>
  <c r="A60"/>
  <c r="C60"/>
  <c r="D60"/>
  <c r="A61"/>
  <c r="C61"/>
  <c r="D61"/>
  <c r="A62"/>
  <c r="C62"/>
  <c r="A63"/>
  <c r="C63"/>
  <c r="A64"/>
  <c r="C64"/>
  <c r="A65"/>
  <c r="C65"/>
  <c r="C67"/>
  <c r="A5" i="43"/>
  <c r="A30"/>
  <c r="A31"/>
  <c r="A32"/>
  <c r="A33"/>
  <c r="A34"/>
  <c r="A35"/>
  <c r="A36"/>
  <c r="A37"/>
  <c r="A38"/>
  <c r="A39"/>
  <c r="A40"/>
  <c r="A41"/>
  <c r="A42"/>
  <c r="A43"/>
  <c r="A44"/>
  <c r="A45"/>
  <c r="A46"/>
  <c r="A47"/>
  <c r="A48"/>
  <c r="A49"/>
  <c r="A50"/>
  <c r="A51"/>
  <c r="A52"/>
  <c r="A53"/>
  <c r="A54"/>
  <c r="A55"/>
  <c r="A56"/>
  <c r="A57"/>
  <c r="A58"/>
  <c r="A60"/>
  <c r="A61"/>
  <c r="A63"/>
  <c r="A64"/>
  <c r="A65"/>
  <c r="A66"/>
  <c r="A67"/>
  <c r="A68"/>
  <c r="A69"/>
  <c r="A70"/>
  <c r="A11" i="2"/>
  <c r="F41"/>
  <c r="A85"/>
  <c r="B90"/>
  <c r="B91"/>
  <c r="B92"/>
  <c r="B93"/>
  <c r="B94"/>
  <c r="B95"/>
  <c r="B96"/>
  <c r="B97"/>
  <c r="B98"/>
  <c r="B99"/>
  <c r="B100"/>
  <c r="B101"/>
  <c r="B102"/>
  <c r="B103"/>
  <c r="B104"/>
  <c r="B105"/>
  <c r="B106"/>
  <c r="B107"/>
  <c r="B108"/>
  <c r="B109"/>
  <c r="B110"/>
  <c r="B111"/>
  <c r="B112"/>
  <c r="B113"/>
  <c r="B114"/>
  <c r="D115"/>
  <c r="A120"/>
  <c r="D121"/>
  <c r="E121"/>
  <c r="B21" i="27"/>
  <c r="C32" i="12"/>
  <c r="C244" i="9"/>
  <c r="F5" i="28"/>
  <c r="B31" i="26"/>
  <c r="B31" i="22"/>
  <c r="B75" i="15"/>
  <c r="B75" i="12"/>
  <c r="C80" i="15"/>
  <c r="D72" i="44"/>
  <c r="D111" s="1"/>
  <c r="D98" i="8"/>
  <c r="D82"/>
  <c r="C182" i="9"/>
  <c r="C122"/>
  <c r="C43" i="11"/>
  <c r="C14" i="23"/>
  <c r="C14" i="25"/>
  <c r="B29" i="48"/>
  <c r="B30"/>
  <c r="B62" i="35"/>
  <c r="B62" i="26"/>
  <c r="B62" i="24"/>
  <c r="B62" i="22"/>
  <c r="B35" i="21"/>
  <c r="B35" i="19"/>
  <c r="B35" i="15"/>
  <c r="B36" i="10"/>
  <c r="B113" i="44"/>
  <c r="C118"/>
  <c r="C32" i="14"/>
  <c r="G39" i="4"/>
  <c r="B31" i="37"/>
  <c r="B62" i="25"/>
  <c r="B75" i="14"/>
  <c r="C28" i="22"/>
  <c r="B41" i="27"/>
  <c r="C80" i="21"/>
  <c r="D73" i="27"/>
  <c r="C80" i="12"/>
  <c r="B5" i="49"/>
  <c r="A43"/>
  <c r="C5"/>
  <c r="D5"/>
  <c r="B3"/>
  <c r="F29" i="48"/>
  <c r="F30"/>
  <c r="D29"/>
  <c r="D30"/>
  <c r="E112" i="8"/>
  <c r="C72" i="16"/>
  <c r="D288" i="9"/>
  <c r="C176"/>
  <c r="C294" s="1"/>
  <c r="B176"/>
  <c r="B294" s="1"/>
  <c r="C57"/>
  <c r="C290" s="1"/>
  <c r="D63" i="24"/>
  <c r="C63" i="26"/>
  <c r="B29" i="45"/>
  <c r="B30" s="1"/>
  <c r="J29" i="47"/>
  <c r="J30"/>
  <c r="F29"/>
  <c r="F30"/>
  <c r="D29"/>
  <c r="D30"/>
  <c r="K30"/>
  <c r="K18"/>
  <c r="B29"/>
  <c r="B30"/>
  <c r="J29" i="48"/>
  <c r="J30"/>
  <c r="K18"/>
  <c r="C32" i="38"/>
  <c r="G45" s="1"/>
  <c r="D64" i="27"/>
  <c r="F13"/>
  <c r="A9" i="43"/>
  <c r="C116" i="9"/>
  <c r="C292" s="1"/>
  <c r="C238"/>
  <c r="C296" s="1"/>
  <c r="B288"/>
  <c r="C288"/>
  <c r="D104" i="8"/>
  <c r="D91" i="16"/>
  <c r="C32" i="37"/>
  <c r="B75" i="21"/>
  <c r="B75" i="18"/>
  <c r="B35"/>
  <c r="C80"/>
  <c r="B75" i="17"/>
  <c r="B35" i="14"/>
  <c r="C80"/>
  <c r="B35" i="12"/>
  <c r="D182" i="9"/>
  <c r="B244"/>
  <c r="B182"/>
  <c r="D5" i="38"/>
  <c r="C70" i="42"/>
  <c r="M71" i="27"/>
  <c r="B13"/>
  <c r="E9" i="6"/>
  <c r="J61" i="27"/>
  <c r="C91" i="13"/>
  <c r="C57" i="42"/>
  <c r="B52"/>
  <c r="B6" i="38"/>
  <c r="J72" i="27"/>
  <c r="J56"/>
  <c r="G21" i="57"/>
  <c r="G19" s="1"/>
  <c r="G23"/>
  <c r="J83" i="58"/>
  <c r="J123"/>
  <c r="J103"/>
  <c r="G7" i="29"/>
  <c r="C53" i="44"/>
  <c r="D32" i="38"/>
  <c r="H43" i="20"/>
  <c r="H75"/>
  <c r="H78"/>
  <c r="H83"/>
  <c r="H85"/>
  <c r="D88"/>
  <c r="C5"/>
  <c r="C45" s="1"/>
  <c r="G24"/>
  <c r="G31"/>
  <c r="H34"/>
  <c r="G38"/>
  <c r="C40"/>
  <c r="H45"/>
  <c r="G64"/>
  <c r="G71"/>
  <c r="H74"/>
  <c r="G78"/>
  <c r="C91" i="17"/>
  <c r="B35" i="16"/>
  <c r="C80"/>
  <c r="B75"/>
  <c r="C91"/>
  <c r="G42" i="42"/>
  <c r="H52"/>
  <c r="H57"/>
  <c r="H64"/>
  <c r="G49"/>
  <c r="H54"/>
  <c r="H62"/>
  <c r="B35" i="20"/>
  <c r="D32" i="37"/>
  <c r="C63" i="35"/>
  <c r="C63" i="24"/>
  <c r="D7" i="42"/>
  <c r="C71"/>
  <c r="C92" i="10"/>
  <c r="C94"/>
  <c r="C91" i="12"/>
  <c r="C93" i="14"/>
  <c r="C93" i="17"/>
  <c r="C74"/>
  <c r="D44" i="18"/>
  <c r="C94"/>
  <c r="C93"/>
  <c r="C34" i="19"/>
  <c r="D31" i="49"/>
  <c r="E31"/>
  <c r="K29" i="48"/>
  <c r="H30"/>
  <c r="H30" i="47"/>
  <c r="K29"/>
  <c r="K28" i="45"/>
  <c r="B57" i="27" s="1"/>
  <c r="C61" i="37"/>
  <c r="D38" s="1"/>
  <c r="D47" s="1"/>
  <c r="D61" s="1"/>
  <c r="C32" i="35"/>
  <c r="C32" i="25"/>
  <c r="C32" i="24"/>
  <c r="D63" i="22"/>
  <c r="C93" i="21"/>
  <c r="C74"/>
  <c r="D44"/>
  <c r="C94"/>
  <c r="C92"/>
  <c r="D6"/>
  <c r="D72" i="20"/>
  <c r="C90"/>
  <c r="C91"/>
  <c r="D46"/>
  <c r="C59"/>
  <c r="D32"/>
  <c r="C88"/>
  <c r="C21"/>
  <c r="C34"/>
  <c r="D93" i="19"/>
  <c r="B77" s="1"/>
  <c r="G78"/>
  <c r="C74"/>
  <c r="D44"/>
  <c r="C94"/>
  <c r="G38"/>
  <c r="D6"/>
  <c r="C92"/>
  <c r="C34" i="18"/>
  <c r="C92"/>
  <c r="C91"/>
  <c r="D6"/>
  <c r="D44" i="17"/>
  <c r="C94"/>
  <c r="D91"/>
  <c r="B37" s="1"/>
  <c r="C34"/>
  <c r="C92"/>
  <c r="D6"/>
  <c r="G78" i="16"/>
  <c r="D44"/>
  <c r="C94"/>
  <c r="C34"/>
  <c r="D6" s="1"/>
  <c r="C92"/>
  <c r="C93" i="15"/>
  <c r="C91"/>
  <c r="G38" i="14"/>
  <c r="G78" i="13"/>
  <c r="C93" i="12"/>
  <c r="E41" i="38"/>
  <c r="E10" i="14" s="1"/>
  <c r="J6" i="29"/>
  <c r="G127" i="8"/>
  <c r="B73" i="27"/>
  <c r="B80" i="3"/>
  <c r="A15"/>
  <c r="C5" i="38"/>
  <c r="E5"/>
  <c r="H9" i="30"/>
  <c r="J54" i="27"/>
  <c r="J63"/>
  <c r="G14"/>
  <c r="J64"/>
  <c r="D5" i="28"/>
  <c r="E7" i="4"/>
  <c r="G30" i="38"/>
  <c r="E12" i="21" s="1"/>
  <c r="E28" i="38"/>
  <c r="E10" i="20" s="1"/>
  <c r="E26" i="38"/>
  <c r="E10" i="19" s="1"/>
  <c r="F22" i="38"/>
  <c r="E11" i="17" s="1"/>
  <c r="E11" i="13"/>
  <c r="G8" i="38"/>
  <c r="E13" i="42" s="1"/>
  <c r="F31" i="38"/>
  <c r="E49" i="21" s="1"/>
  <c r="E5"/>
  <c r="E43" s="1"/>
  <c r="C5"/>
  <c r="C43" s="1"/>
  <c r="H85"/>
  <c r="H83"/>
  <c r="H78"/>
  <c r="H76"/>
  <c r="H74"/>
  <c r="G71"/>
  <c r="G64"/>
  <c r="H45"/>
  <c r="H43"/>
  <c r="H38"/>
  <c r="H36"/>
  <c r="H34"/>
  <c r="G31"/>
  <c r="G24"/>
  <c r="C40"/>
  <c r="D5"/>
  <c r="D43" s="1"/>
  <c r="H86"/>
  <c r="H84"/>
  <c r="H79"/>
  <c r="H75"/>
  <c r="H73"/>
  <c r="G68"/>
  <c r="H46"/>
  <c r="H44"/>
  <c r="H39"/>
  <c r="H35"/>
  <c r="H33"/>
  <c r="G28"/>
  <c r="E5" i="18"/>
  <c r="E43" s="1"/>
  <c r="C5"/>
  <c r="C43" s="1"/>
  <c r="H86"/>
  <c r="H84"/>
  <c r="H79"/>
  <c r="H75"/>
  <c r="H73"/>
  <c r="G68"/>
  <c r="H46"/>
  <c r="H44"/>
  <c r="H39"/>
  <c r="H35"/>
  <c r="H33"/>
  <c r="G28"/>
  <c r="C40"/>
  <c r="D5"/>
  <c r="D43" s="1"/>
  <c r="H85"/>
  <c r="H83"/>
  <c r="H78"/>
  <c r="H76"/>
  <c r="H74"/>
  <c r="G71"/>
  <c r="G64"/>
  <c r="H45"/>
  <c r="H43"/>
  <c r="H38"/>
  <c r="H36"/>
  <c r="H34"/>
  <c r="G31"/>
  <c r="G24"/>
  <c r="E5" i="16"/>
  <c r="E43" s="1"/>
  <c r="C5"/>
  <c r="C43" s="1"/>
  <c r="H86"/>
  <c r="H84"/>
  <c r="H79"/>
  <c r="H75"/>
  <c r="H73"/>
  <c r="G68"/>
  <c r="H46"/>
  <c r="H44"/>
  <c r="H39"/>
  <c r="H35"/>
  <c r="H33"/>
  <c r="G28"/>
  <c r="C40"/>
  <c r="D5"/>
  <c r="D43" s="1"/>
  <c r="H85"/>
  <c r="H83"/>
  <c r="H78"/>
  <c r="H76"/>
  <c r="H74"/>
  <c r="G71"/>
  <c r="G64"/>
  <c r="H45"/>
  <c r="H43"/>
  <c r="H38"/>
  <c r="H36"/>
  <c r="H34"/>
  <c r="G31"/>
  <c r="G24"/>
  <c r="E5" i="14"/>
  <c r="E43" s="1"/>
  <c r="C5"/>
  <c r="C43" s="1"/>
  <c r="H86"/>
  <c r="H84"/>
  <c r="H79"/>
  <c r="H75"/>
  <c r="H73"/>
  <c r="G68"/>
  <c r="H46"/>
  <c r="H44"/>
  <c r="H39"/>
  <c r="H35"/>
  <c r="H33"/>
  <c r="G28"/>
  <c r="C40"/>
  <c r="D5"/>
  <c r="D43" s="1"/>
  <c r="H85"/>
  <c r="H83"/>
  <c r="H78"/>
  <c r="H76"/>
  <c r="H74"/>
  <c r="G71"/>
  <c r="G64"/>
  <c r="H45"/>
  <c r="H43"/>
  <c r="H38"/>
  <c r="H36"/>
  <c r="H34"/>
  <c r="G31"/>
  <c r="G24"/>
  <c r="E5" i="12"/>
  <c r="E43" s="1"/>
  <c r="C5"/>
  <c r="C43" s="1"/>
  <c r="H86"/>
  <c r="H84"/>
  <c r="H79"/>
  <c r="H75"/>
  <c r="H73"/>
  <c r="G68"/>
  <c r="H46"/>
  <c r="H44"/>
  <c r="H39"/>
  <c r="H35"/>
  <c r="H33"/>
  <c r="G28"/>
  <c r="C40"/>
  <c r="D5"/>
  <c r="D43" s="1"/>
  <c r="H85"/>
  <c r="H83"/>
  <c r="H78"/>
  <c r="H76"/>
  <c r="H74"/>
  <c r="G71"/>
  <c r="G64"/>
  <c r="H45"/>
  <c r="H43"/>
  <c r="H38"/>
  <c r="H36"/>
  <c r="H34"/>
  <c r="G31"/>
  <c r="G24"/>
  <c r="B5" i="9"/>
  <c r="B183" s="1"/>
  <c r="D5" i="11"/>
  <c r="H86" i="19"/>
  <c r="H79"/>
  <c r="H73"/>
  <c r="H46"/>
  <c r="H39"/>
  <c r="H33"/>
  <c r="C40"/>
  <c r="C5"/>
  <c r="C43" s="1"/>
  <c r="H83"/>
  <c r="H76"/>
  <c r="G71"/>
  <c r="H45"/>
  <c r="H38"/>
  <c r="H34"/>
  <c r="G24"/>
  <c r="H86" i="17"/>
  <c r="H79"/>
  <c r="H73"/>
  <c r="H46"/>
  <c r="H39"/>
  <c r="H33"/>
  <c r="C40"/>
  <c r="C5"/>
  <c r="C43" s="1"/>
  <c r="H83"/>
  <c r="H76"/>
  <c r="G71"/>
  <c r="H45"/>
  <c r="H38"/>
  <c r="H34"/>
  <c r="G24"/>
  <c r="H86" i="15"/>
  <c r="H79"/>
  <c r="H73"/>
  <c r="H46"/>
  <c r="H39"/>
  <c r="H33"/>
  <c r="C40"/>
  <c r="C5"/>
  <c r="C43" s="1"/>
  <c r="H83"/>
  <c r="H76"/>
  <c r="G71"/>
  <c r="H45"/>
  <c r="H38"/>
  <c r="H34"/>
  <c r="G24"/>
  <c r="H86" i="13"/>
  <c r="H79"/>
  <c r="H73"/>
  <c r="H46"/>
  <c r="H39"/>
  <c r="H33"/>
  <c r="C40"/>
  <c r="C5"/>
  <c r="C43" s="1"/>
  <c r="H83"/>
  <c r="H76"/>
  <c r="G71"/>
  <c r="H45"/>
  <c r="H38"/>
  <c r="H34"/>
  <c r="G24"/>
  <c r="H87" i="10"/>
  <c r="H80"/>
  <c r="H74"/>
  <c r="H47"/>
  <c r="H40"/>
  <c r="H34"/>
  <c r="C41"/>
  <c r="C5"/>
  <c r="C44" s="1"/>
  <c r="H84"/>
  <c r="H77"/>
  <c r="G72"/>
  <c r="H46"/>
  <c r="H39"/>
  <c r="H35"/>
  <c r="G25"/>
  <c r="D5" i="44"/>
  <c r="H125"/>
  <c r="H123"/>
  <c r="H118"/>
  <c r="H115"/>
  <c r="H113"/>
  <c r="G110"/>
  <c r="G103"/>
  <c r="E5"/>
  <c r="C5"/>
  <c r="H124"/>
  <c r="H122"/>
  <c r="H117"/>
  <c r="H114"/>
  <c r="H112"/>
  <c r="G107"/>
  <c r="G28" i="38"/>
  <c r="E12" i="20" s="1"/>
  <c r="F24" i="38"/>
  <c r="E11" i="18" s="1"/>
  <c r="E22" i="38"/>
  <c r="F20"/>
  <c r="E11" i="16" s="1"/>
  <c r="F30" i="38"/>
  <c r="E11" i="21" s="1"/>
  <c r="C5" i="8"/>
  <c r="C6" i="22" s="1"/>
  <c r="C37" s="1"/>
  <c r="D62" i="8"/>
  <c r="D6" i="42"/>
  <c r="G107" i="8"/>
  <c r="H116"/>
  <c r="H119"/>
  <c r="H126"/>
  <c r="G46" i="42"/>
  <c r="H51"/>
  <c r="H53"/>
  <c r="H56"/>
  <c r="H61"/>
  <c r="H63"/>
  <c r="H35" i="20"/>
  <c r="C62" i="8"/>
  <c r="C6" i="42"/>
  <c r="G111" i="8"/>
  <c r="H122"/>
  <c r="C64" i="37"/>
  <c r="C89" i="20"/>
  <c r="D6"/>
  <c r="B123" i="9"/>
  <c r="G29" i="38"/>
  <c r="E52" i="20" s="1"/>
  <c r="G19" i="38"/>
  <c r="E50" i="15" s="1"/>
  <c r="G21" i="38"/>
  <c r="E50" i="16" s="1"/>
  <c r="G23" i="38"/>
  <c r="E50" i="17" s="1"/>
  <c r="G25" i="38"/>
  <c r="E50" i="18" s="1"/>
  <c r="G27" i="38"/>
  <c r="E50" i="19" s="1"/>
  <c r="G26" i="38"/>
  <c r="E12" i="19" s="1"/>
  <c r="G22" i="38"/>
  <c r="E12" i="17" s="1"/>
  <c r="G31" i="38"/>
  <c r="E50" i="21" s="1"/>
  <c r="C6" i="25"/>
  <c r="C37" s="1"/>
  <c r="E49" i="14"/>
  <c r="F19" i="38"/>
  <c r="E49" i="15" s="1"/>
  <c r="F21" i="38"/>
  <c r="E49" i="16" s="1"/>
  <c r="F23" i="38"/>
  <c r="E49" i="17" s="1"/>
  <c r="F25" i="38"/>
  <c r="E49" i="18" s="1"/>
  <c r="F27" i="38"/>
  <c r="E49" i="19" s="1"/>
  <c r="F28" i="38"/>
  <c r="E11" i="20" s="1"/>
  <c r="F26" i="38"/>
  <c r="E11" i="19" s="1"/>
  <c r="E11" i="10"/>
  <c r="F8" i="38"/>
  <c r="E12" i="42" s="1"/>
  <c r="F29" i="38"/>
  <c r="E51" i="20" s="1"/>
  <c r="E19" i="38"/>
  <c r="E21"/>
  <c r="E23"/>
  <c r="E48" i="17" s="1"/>
  <c r="E25" i="38"/>
  <c r="E48" i="18" s="1"/>
  <c r="E27" i="38"/>
  <c r="E48" i="19" s="1"/>
  <c r="E10" i="13"/>
  <c r="E10" i="10"/>
  <c r="E8" i="38"/>
  <c r="E30"/>
  <c r="E10" i="21" s="1"/>
  <c r="E20" s="1"/>
  <c r="E31" i="38"/>
  <c r="E48" i="21" s="1"/>
  <c r="E24" i="38"/>
  <c r="E10" i="18" s="1"/>
  <c r="E20" i="38"/>
  <c r="E10" i="15"/>
  <c r="E48" i="12"/>
  <c r="E10" i="44"/>
  <c r="E29" i="38"/>
  <c r="E50" i="20" s="1"/>
  <c r="G20" i="38"/>
  <c r="E12" i="16" s="1"/>
  <c r="G24" i="38"/>
  <c r="E12" i="18" s="1"/>
  <c r="E11" i="42"/>
  <c r="J27" i="19"/>
  <c r="J27" i="17"/>
  <c r="J68" i="13"/>
  <c r="J69"/>
  <c r="J67"/>
  <c r="J28" i="10"/>
  <c r="J68" i="17"/>
  <c r="J69"/>
  <c r="J68" i="12"/>
  <c r="J69"/>
  <c r="J68" i="19"/>
  <c r="J69"/>
  <c r="J68" i="21"/>
  <c r="J69"/>
  <c r="J67"/>
  <c r="J27"/>
  <c r="J68" i="20"/>
  <c r="J69"/>
  <c r="J67"/>
  <c r="J27"/>
  <c r="J67" i="19"/>
  <c r="J68" i="18"/>
  <c r="J69"/>
  <c r="J67"/>
  <c r="J27"/>
  <c r="J67" i="17"/>
  <c r="J68" i="16"/>
  <c r="J69"/>
  <c r="J67"/>
  <c r="J27"/>
  <c r="J27" i="15"/>
  <c r="J68" i="14"/>
  <c r="J69"/>
  <c r="J67"/>
  <c r="J27"/>
  <c r="J67" i="12"/>
  <c r="J27"/>
  <c r="J69" i="10"/>
  <c r="J70"/>
  <c r="J68"/>
  <c r="J68" i="15"/>
  <c r="J69"/>
  <c r="J67"/>
  <c r="J27" i="13"/>
  <c r="J45" i="42"/>
  <c r="J106" i="44"/>
  <c r="J110" i="8"/>
  <c r="G18" i="57"/>
  <c r="E60" i="21" l="1"/>
  <c r="B245" i="9"/>
  <c r="C5" i="11"/>
  <c r="E63" i="44"/>
  <c r="D5" i="9"/>
  <c r="J57" i="27"/>
  <c r="J50"/>
  <c r="J71"/>
  <c r="D68"/>
  <c r="I9" i="30"/>
  <c r="F43" i="38"/>
  <c r="E11" i="14" s="1"/>
  <c r="A10" i="43"/>
  <c r="J70" i="27"/>
  <c r="A10"/>
  <c r="B68"/>
  <c r="J69"/>
  <c r="F68"/>
  <c r="D241" i="9"/>
  <c r="D179"/>
  <c r="A11" i="43"/>
  <c r="C14" i="33"/>
  <c r="B6"/>
  <c r="D5" i="57"/>
  <c r="I37" i="28"/>
  <c r="C46" i="36"/>
  <c r="B48" i="27"/>
  <c r="C28" i="25"/>
  <c r="C30"/>
  <c r="D7" s="1"/>
  <c r="D16" s="1"/>
  <c r="D30" s="1"/>
  <c r="C61" i="27"/>
  <c r="C19" i="15"/>
  <c r="C34"/>
  <c r="C92" s="1"/>
  <c r="C19" i="12"/>
  <c r="C34"/>
  <c r="B76" i="10"/>
  <c r="D238" i="9"/>
  <c r="D296" s="1"/>
  <c r="G16" i="33"/>
  <c r="B37" i="16"/>
  <c r="D20" i="15"/>
  <c r="D60" i="14"/>
  <c r="D59" s="1"/>
  <c r="D20"/>
  <c r="D19" s="1"/>
  <c r="D20" i="13"/>
  <c r="D60" i="12"/>
  <c r="D61" i="10"/>
  <c r="D60" s="1"/>
  <c r="D21"/>
  <c r="D54" i="44"/>
  <c r="D18" i="27"/>
  <c r="D110" i="44"/>
  <c r="D91" i="13"/>
  <c r="E48" i="15"/>
  <c r="E11" i="44"/>
  <c r="E10" i="17"/>
  <c r="E10" i="16"/>
  <c r="E48"/>
  <c r="E60" s="1"/>
  <c r="G74" s="1"/>
  <c r="E11" i="15"/>
  <c r="E111" i="44"/>
  <c r="C63" i="23"/>
  <c r="F73" i="27"/>
  <c r="D63" i="37"/>
  <c r="D63" i="35"/>
  <c r="D32"/>
  <c r="D64" i="36"/>
  <c r="D33"/>
  <c r="D63" i="26"/>
  <c r="D32"/>
  <c r="D63" i="25"/>
  <c r="D63" i="23"/>
  <c r="D32"/>
  <c r="D93" i="15"/>
  <c r="D91"/>
  <c r="D93" i="14"/>
  <c r="B77" s="1"/>
  <c r="D91"/>
  <c r="D93" i="13"/>
  <c r="D93" i="12"/>
  <c r="D91"/>
  <c r="D94" i="10"/>
  <c r="D92"/>
  <c r="D176" i="9"/>
  <c r="D294" s="1"/>
  <c r="D116"/>
  <c r="D292" s="1"/>
  <c r="D57"/>
  <c r="D290" s="1"/>
  <c r="C53" i="8"/>
  <c r="G21" i="33"/>
  <c r="E49" i="42"/>
  <c r="D22" i="3"/>
  <c r="E54" i="42"/>
  <c r="F17" i="27"/>
  <c r="F53" i="42"/>
  <c r="G25" i="33"/>
  <c r="F37" i="10"/>
  <c r="E33"/>
  <c r="E38"/>
  <c r="F19" i="27"/>
  <c r="F20"/>
  <c r="F77" i="10"/>
  <c r="E78"/>
  <c r="E73"/>
  <c r="E32" i="12"/>
  <c r="F36"/>
  <c r="F21" i="27"/>
  <c r="E37" i="12"/>
  <c r="E72"/>
  <c r="F76"/>
  <c r="E77"/>
  <c r="F22" i="27"/>
  <c r="E32" i="13"/>
  <c r="F23" i="27"/>
  <c r="F36" i="13"/>
  <c r="E37"/>
  <c r="F24" i="27"/>
  <c r="E72" i="13"/>
  <c r="E77"/>
  <c r="F76"/>
  <c r="E32" i="14"/>
  <c r="F25" i="27"/>
  <c r="F36" i="14"/>
  <c r="E37"/>
  <c r="F76"/>
  <c r="F26" i="27"/>
  <c r="E72" i="14"/>
  <c r="E77"/>
  <c r="E37" i="15"/>
  <c r="F36"/>
  <c r="E32"/>
  <c r="F27" i="27"/>
  <c r="D33" i="3"/>
  <c r="F28" i="27"/>
  <c r="F76" i="15"/>
  <c r="E72"/>
  <c r="E77"/>
  <c r="F36" i="16"/>
  <c r="E37"/>
  <c r="D34" i="3"/>
  <c r="E32" i="16"/>
  <c r="F29" i="27"/>
  <c r="D35" i="3"/>
  <c r="E77" i="16"/>
  <c r="F76"/>
  <c r="E72"/>
  <c r="F30" i="27"/>
  <c r="E32" i="17"/>
  <c r="D36" i="3"/>
  <c r="E37" i="17"/>
  <c r="F36"/>
  <c r="F31" i="27"/>
  <c r="F76" i="17"/>
  <c r="E72"/>
  <c r="F32" i="27"/>
  <c r="D37" i="3"/>
  <c r="E77" i="17"/>
  <c r="E32" i="18"/>
  <c r="E37"/>
  <c r="F36"/>
  <c r="F33" i="27"/>
  <c r="D38" i="3"/>
  <c r="F76" i="18"/>
  <c r="E77"/>
  <c r="F34" i="27"/>
  <c r="D39" i="3"/>
  <c r="E72" i="18"/>
  <c r="E32" i="19"/>
  <c r="F36"/>
  <c r="F35" i="27"/>
  <c r="D40" i="3"/>
  <c r="E37" i="19"/>
  <c r="E72"/>
  <c r="D41" i="3"/>
  <c r="F76" i="19"/>
  <c r="E77"/>
  <c r="F36" i="27"/>
  <c r="D42" i="3"/>
  <c r="E37" i="20"/>
  <c r="F37" i="27"/>
  <c r="E32" i="20"/>
  <c r="F36"/>
  <c r="D43" i="3"/>
  <c r="E72" i="20"/>
  <c r="F76"/>
  <c r="E77"/>
  <c r="F38" i="27"/>
  <c r="E37" i="21"/>
  <c r="D44" i="3"/>
  <c r="F36" i="21"/>
  <c r="E32"/>
  <c r="F39" i="27"/>
  <c r="F76" i="21"/>
  <c r="D45" i="3"/>
  <c r="E72" i="21"/>
  <c r="F40" i="27"/>
  <c r="E77" i="21"/>
  <c r="B37" i="20"/>
  <c r="E48" i="14"/>
  <c r="E49" i="13"/>
  <c r="C72" i="44"/>
  <c r="C111" s="1"/>
  <c r="C63" i="22"/>
  <c r="B37" i="13"/>
  <c r="B54" i="42"/>
  <c r="D129" i="44"/>
  <c r="B37" i="12"/>
  <c r="B77"/>
  <c r="B77" i="16"/>
  <c r="B77" i="17"/>
  <c r="B37" i="18"/>
  <c r="B77"/>
  <c r="B37" i="19"/>
  <c r="B37" i="21"/>
  <c r="B77"/>
  <c r="B77" i="20"/>
  <c r="E61" i="27"/>
  <c r="G86" i="12" s="1"/>
  <c r="J29" i="46"/>
  <c r="J30" s="1"/>
  <c r="H29"/>
  <c r="H30" s="1"/>
  <c r="D29"/>
  <c r="D30" s="1"/>
  <c r="K18"/>
  <c r="B29"/>
  <c r="K30"/>
  <c r="J29" i="45"/>
  <c r="J30" s="1"/>
  <c r="H29"/>
  <c r="K18"/>
  <c r="D29"/>
  <c r="K30"/>
  <c r="E38" i="37"/>
  <c r="E47" s="1"/>
  <c r="E61" s="1"/>
  <c r="E62" s="1"/>
  <c r="D64"/>
  <c r="C33"/>
  <c r="D7"/>
  <c r="D16" s="1"/>
  <c r="D30" s="1"/>
  <c r="E7" s="1"/>
  <c r="E16" s="1"/>
  <c r="E30" s="1"/>
  <c r="E31" s="1"/>
  <c r="C61" i="35"/>
  <c r="C64" s="1"/>
  <c r="D38"/>
  <c r="D47" s="1"/>
  <c r="D61" s="1"/>
  <c r="D64" s="1"/>
  <c r="C33"/>
  <c r="D7"/>
  <c r="D16" s="1"/>
  <c r="D30" s="1"/>
  <c r="C64" i="36"/>
  <c r="C62"/>
  <c r="D39" s="1"/>
  <c r="D48" s="1"/>
  <c r="D62" s="1"/>
  <c r="C31"/>
  <c r="C34" s="1"/>
  <c r="C61" i="26"/>
  <c r="C64" s="1"/>
  <c r="C30"/>
  <c r="D7" s="1"/>
  <c r="D16" s="1"/>
  <c r="D30" s="1"/>
  <c r="C61" i="25"/>
  <c r="D38" s="1"/>
  <c r="D47" s="1"/>
  <c r="D61" s="1"/>
  <c r="C33"/>
  <c r="C61" i="24"/>
  <c r="D38" s="1"/>
  <c r="D47" s="1"/>
  <c r="D61" s="1"/>
  <c r="C64"/>
  <c r="C30"/>
  <c r="C33" s="1"/>
  <c r="E12" i="10"/>
  <c r="E21" s="1"/>
  <c r="G35" s="1"/>
  <c r="E12" i="15"/>
  <c r="E12" i="13"/>
  <c r="E20" s="1"/>
  <c r="G34" s="1"/>
  <c r="E50" i="14"/>
  <c r="E12"/>
  <c r="E12" i="12"/>
  <c r="E50" i="13"/>
  <c r="E51" i="10"/>
  <c r="G64" i="42"/>
  <c r="E50" i="10"/>
  <c r="E50" i="12"/>
  <c r="E12" i="44"/>
  <c r="E49" i="10"/>
  <c r="E48" i="13"/>
  <c r="E10" i="12"/>
  <c r="D183" i="9"/>
  <c r="C6" i="36"/>
  <c r="C38" s="1"/>
  <c r="B65" i="9"/>
  <c r="H127" i="8"/>
  <c r="H118"/>
  <c r="D5"/>
  <c r="H128"/>
  <c r="H121"/>
  <c r="H117"/>
  <c r="G114"/>
  <c r="E5"/>
  <c r="G32" i="10"/>
  <c r="H37"/>
  <c r="H44"/>
  <c r="G65"/>
  <c r="H75"/>
  <c r="H79"/>
  <c r="H86"/>
  <c r="E5"/>
  <c r="E44" s="1"/>
  <c r="G29"/>
  <c r="H36"/>
  <c r="H45"/>
  <c r="G69"/>
  <c r="H76"/>
  <c r="H85"/>
  <c r="D5"/>
  <c r="D44" s="1"/>
  <c r="G31" i="13"/>
  <c r="H36"/>
  <c r="H43"/>
  <c r="G64"/>
  <c r="H74"/>
  <c r="H78"/>
  <c r="H85"/>
  <c r="E5"/>
  <c r="E43" s="1"/>
  <c r="G28"/>
  <c r="H35"/>
  <c r="H44"/>
  <c r="G68"/>
  <c r="H75"/>
  <c r="H84"/>
  <c r="D5"/>
  <c r="D43" s="1"/>
  <c r="G31" i="15"/>
  <c r="H36"/>
  <c r="H43"/>
  <c r="G64"/>
  <c r="H74"/>
  <c r="H78"/>
  <c r="H85"/>
  <c r="E5"/>
  <c r="E43" s="1"/>
  <c r="G28"/>
  <c r="H35"/>
  <c r="H44"/>
  <c r="G68"/>
  <c r="H75"/>
  <c r="H84"/>
  <c r="G31" i="17"/>
  <c r="H36"/>
  <c r="H43"/>
  <c r="G64"/>
  <c r="H74"/>
  <c r="H78"/>
  <c r="H85"/>
  <c r="E5"/>
  <c r="E43" s="1"/>
  <c r="G28"/>
  <c r="H35"/>
  <c r="H44"/>
  <c r="G68"/>
  <c r="H75"/>
  <c r="H84"/>
  <c r="D5"/>
  <c r="D43" s="1"/>
  <c r="G31" i="19"/>
  <c r="H36"/>
  <c r="H43"/>
  <c r="G64"/>
  <c r="H74"/>
  <c r="H78"/>
  <c r="H85"/>
  <c r="E5"/>
  <c r="E43" s="1"/>
  <c r="G28"/>
  <c r="H35"/>
  <c r="H44"/>
  <c r="G68"/>
  <c r="H75"/>
  <c r="H84"/>
  <c r="D5"/>
  <c r="D43" s="1"/>
  <c r="C63" i="44"/>
  <c r="C5" i="9"/>
  <c r="G6" i="28"/>
  <c r="H6"/>
  <c r="A9" i="3"/>
  <c r="E13"/>
  <c r="B78" i="10"/>
  <c r="H73" i="20"/>
  <c r="G68"/>
  <c r="H46"/>
  <c r="H44"/>
  <c r="H33"/>
  <c r="G28"/>
  <c r="E5"/>
  <c r="E45" s="1"/>
  <c r="H86"/>
  <c r="H84"/>
  <c r="H79"/>
  <c r="H76"/>
  <c r="B75"/>
  <c r="H39"/>
  <c r="D12" i="3"/>
  <c r="F70"/>
  <c r="C80" i="17"/>
  <c r="A6" i="43"/>
  <c r="A14"/>
  <c r="A8"/>
  <c r="D119" i="9"/>
  <c r="C80" i="13"/>
  <c r="C27" i="43"/>
  <c r="B35" i="13"/>
  <c r="C80" i="19"/>
  <c r="B62" i="23"/>
  <c r="B63" i="36"/>
  <c r="A7" i="43"/>
  <c r="A37" i="33"/>
  <c r="C15"/>
  <c r="B13"/>
  <c r="B9"/>
  <c r="B5"/>
  <c r="B37" i="15"/>
  <c r="A26" i="43"/>
  <c r="D9" i="6"/>
  <c r="B32" s="1"/>
  <c r="J7" i="33"/>
  <c r="E60" i="20"/>
  <c r="G74" s="1"/>
  <c r="E20" i="14"/>
  <c r="G34" s="1"/>
  <c r="E60" i="18"/>
  <c r="C6" i="24"/>
  <c r="C37" s="1"/>
  <c r="C6" i="23"/>
  <c r="C37" s="1"/>
  <c r="B38" i="10"/>
  <c r="E60" i="17"/>
  <c r="G74" s="1"/>
  <c r="C6" i="35"/>
  <c r="C37" s="1"/>
  <c r="C6" i="37"/>
  <c r="C37" s="1"/>
  <c r="C6" i="26"/>
  <c r="C37" s="1"/>
  <c r="B27" i="43"/>
  <c r="B117" i="8"/>
  <c r="C122"/>
  <c r="D25" i="42"/>
  <c r="D27"/>
  <c r="D51" s="1"/>
  <c r="D59" i="16"/>
  <c r="D61"/>
  <c r="D74" s="1"/>
  <c r="D19" i="17"/>
  <c r="D21"/>
  <c r="D34" s="1"/>
  <c r="D59"/>
  <c r="D61"/>
  <c r="D74" s="1"/>
  <c r="D19" i="18"/>
  <c r="D21"/>
  <c r="D34" s="1"/>
  <c r="D59"/>
  <c r="D61"/>
  <c r="D74" s="1"/>
  <c r="D19" i="19"/>
  <c r="D21"/>
  <c r="D34" s="1"/>
  <c r="D59"/>
  <c r="D61"/>
  <c r="D74" s="1"/>
  <c r="D19" i="20"/>
  <c r="D21"/>
  <c r="D34" s="1"/>
  <c r="D59"/>
  <c r="D61"/>
  <c r="D74" s="1"/>
  <c r="D19" i="21"/>
  <c r="D21"/>
  <c r="D34" s="1"/>
  <c r="D59"/>
  <c r="D61"/>
  <c r="D74" s="1"/>
  <c r="E60" i="14"/>
  <c r="G74" s="1"/>
  <c r="D21" i="16"/>
  <c r="D34" s="1"/>
  <c r="E6" s="1"/>
  <c r="B37" i="14"/>
  <c r="B77" i="13"/>
  <c r="C61" i="23"/>
  <c r="C64" s="1"/>
  <c r="C33"/>
  <c r="D7"/>
  <c r="D16" s="1"/>
  <c r="D30" s="1"/>
  <c r="C61" i="22"/>
  <c r="D38" s="1"/>
  <c r="D47" s="1"/>
  <c r="D61" s="1"/>
  <c r="C30"/>
  <c r="D7" s="1"/>
  <c r="D16" s="1"/>
  <c r="D30" s="1"/>
  <c r="G33" i="16"/>
  <c r="C74" i="15"/>
  <c r="C94" s="1"/>
  <c r="D6"/>
  <c r="C74" i="14"/>
  <c r="C94" s="1"/>
  <c r="C34"/>
  <c r="C92" s="1"/>
  <c r="C74" i="13"/>
  <c r="D44" s="1"/>
  <c r="D61" s="1"/>
  <c r="D74" s="1"/>
  <c r="C92"/>
  <c r="D6"/>
  <c r="C72" i="12"/>
  <c r="C74"/>
  <c r="D44" s="1"/>
  <c r="D61" s="1"/>
  <c r="D74" s="1"/>
  <c r="C92"/>
  <c r="D6"/>
  <c r="C75" i="10"/>
  <c r="C95" s="1"/>
  <c r="C35"/>
  <c r="D6" s="1"/>
  <c r="D22" s="1"/>
  <c r="D35" s="1"/>
  <c r="C129" i="44"/>
  <c r="B115" s="1"/>
  <c r="G117"/>
  <c r="C110"/>
  <c r="B18" i="27"/>
  <c r="C64" i="44"/>
  <c r="C112"/>
  <c r="B238" i="9"/>
  <c r="B296" s="1"/>
  <c r="E105" i="8"/>
  <c r="E115" s="1"/>
  <c r="D105"/>
  <c r="D115" s="1"/>
  <c r="D16" i="27" s="1"/>
  <c r="D61" s="1"/>
  <c r="D63" s="1"/>
  <c r="D298" i="9"/>
  <c r="C298"/>
  <c r="B116"/>
  <c r="B292" s="1"/>
  <c r="B57"/>
  <c r="B290" s="1"/>
  <c r="C105" i="8"/>
  <c r="C115" s="1"/>
  <c r="C114" s="1"/>
  <c r="C63"/>
  <c r="B77" i="15"/>
  <c r="D59"/>
  <c r="D19"/>
  <c r="D59" i="13"/>
  <c r="D19"/>
  <c r="D21"/>
  <c r="D34" s="1"/>
  <c r="E12" i="8"/>
  <c r="D59" i="12"/>
  <c r="D19"/>
  <c r="D21"/>
  <c r="D34" s="1"/>
  <c r="D20" i="10"/>
  <c r="D53" i="44"/>
  <c r="E54"/>
  <c r="G113" s="1"/>
  <c r="E20" i="15"/>
  <c r="E20" i="16"/>
  <c r="G34" s="1"/>
  <c r="E20" i="18"/>
  <c r="E26" i="42"/>
  <c r="G52" s="1"/>
  <c r="E60" i="19"/>
  <c r="E60" i="15"/>
  <c r="G74" s="1"/>
  <c r="G34" i="21"/>
  <c r="E20" i="20"/>
  <c r="G74" i="21"/>
  <c r="G74" i="18"/>
  <c r="D53" i="8"/>
  <c r="E20" i="17"/>
  <c r="E20" i="19"/>
  <c r="C80" i="20"/>
  <c r="D5"/>
  <c r="D45" s="1"/>
  <c r="H38"/>
  <c r="E110" i="44" l="1"/>
  <c r="D23" i="3"/>
  <c r="D245" i="9"/>
  <c r="D65"/>
  <c r="D123"/>
  <c r="H30" i="45"/>
  <c r="E119" i="8"/>
  <c r="D21" i="3"/>
  <c r="G86" i="17"/>
  <c r="D38" i="26"/>
  <c r="D47" s="1"/>
  <c r="D61" s="1"/>
  <c r="C33"/>
  <c r="C64" i="25"/>
  <c r="D64"/>
  <c r="E38"/>
  <c r="E47" s="1"/>
  <c r="E61" s="1"/>
  <c r="E62" s="1"/>
  <c r="D38" i="23"/>
  <c r="D47" s="1"/>
  <c r="D61" s="1"/>
  <c r="E38" s="1"/>
  <c r="E47" s="1"/>
  <c r="E61" s="1"/>
  <c r="E62" s="1"/>
  <c r="C64" i="22"/>
  <c r="C33"/>
  <c r="D33"/>
  <c r="E7"/>
  <c r="E16" s="1"/>
  <c r="E30" s="1"/>
  <c r="E31" s="1"/>
  <c r="D92" i="16"/>
  <c r="B38" s="1"/>
  <c r="D44" i="15"/>
  <c r="D61" s="1"/>
  <c r="D74" s="1"/>
  <c r="D21"/>
  <c r="D34" s="1"/>
  <c r="D44" i="14"/>
  <c r="D6"/>
  <c r="D21" s="1"/>
  <c r="D34" s="1"/>
  <c r="C94" i="12"/>
  <c r="D45" i="10"/>
  <c r="D62" s="1"/>
  <c r="D75" s="1"/>
  <c r="C93"/>
  <c r="E61"/>
  <c r="G75" s="1"/>
  <c r="D61" i="14"/>
  <c r="D74" s="1"/>
  <c r="F114" i="44"/>
  <c r="E115"/>
  <c r="G86" i="20"/>
  <c r="G46" i="13"/>
  <c r="F18" i="27"/>
  <c r="G27" i="33"/>
  <c r="J29" s="1"/>
  <c r="J31" s="1"/>
  <c r="E11" i="12"/>
  <c r="E20" s="1"/>
  <c r="G34" s="1"/>
  <c r="E49"/>
  <c r="E60" s="1"/>
  <c r="G74" s="1"/>
  <c r="C65" i="36"/>
  <c r="D7"/>
  <c r="D17" s="1"/>
  <c r="D31" s="1"/>
  <c r="D7" i="24"/>
  <c r="D16" s="1"/>
  <c r="D30" s="1"/>
  <c r="E7" s="1"/>
  <c r="E16" s="1"/>
  <c r="E30" s="1"/>
  <c r="E31" s="1"/>
  <c r="E60" i="13"/>
  <c r="G74" s="1"/>
  <c r="D33" i="37"/>
  <c r="F118" i="8"/>
  <c r="E114"/>
  <c r="G46" i="12"/>
  <c r="G86" i="21"/>
  <c r="G46" i="18"/>
  <c r="G46" i="16"/>
  <c r="G46" i="21"/>
  <c r="G86" i="13"/>
  <c r="G46" i="17"/>
  <c r="G129" i="8"/>
  <c r="G86" i="14"/>
  <c r="D66" i="3"/>
  <c r="F16" i="27"/>
  <c r="F61" s="1"/>
  <c r="F63" s="1"/>
  <c r="M56"/>
  <c r="M64" s="1"/>
  <c r="G86" i="18"/>
  <c r="G46" i="14"/>
  <c r="G125" i="44"/>
  <c r="G46" i="19"/>
  <c r="G86" i="15"/>
  <c r="G87" i="10"/>
  <c r="G86" i="19"/>
  <c r="G46" i="15"/>
  <c r="G47" i="10"/>
  <c r="G46" i="20"/>
  <c r="G86" i="16"/>
  <c r="B30" i="46"/>
  <c r="K29"/>
  <c r="D30" i="45"/>
  <c r="K29"/>
  <c r="E38" i="35"/>
  <c r="E47" s="1"/>
  <c r="E61" s="1"/>
  <c r="E62" s="1"/>
  <c r="E7"/>
  <c r="E16" s="1"/>
  <c r="E30" s="1"/>
  <c r="E31" s="1"/>
  <c r="D33"/>
  <c r="D65" i="36"/>
  <c r="E39"/>
  <c r="E48" s="1"/>
  <c r="E62" s="1"/>
  <c r="E63" s="1"/>
  <c r="E7"/>
  <c r="E17" s="1"/>
  <c r="E31" s="1"/>
  <c r="E32" s="1"/>
  <c r="D34"/>
  <c r="E38" i="26"/>
  <c r="E47" s="1"/>
  <c r="E61" s="1"/>
  <c r="E62" s="1"/>
  <c r="D64"/>
  <c r="E7"/>
  <c r="E16" s="1"/>
  <c r="E30" s="1"/>
  <c r="E31" s="1"/>
  <c r="D33"/>
  <c r="E7" i="25"/>
  <c r="E16" s="1"/>
  <c r="E30" s="1"/>
  <c r="E31" s="1"/>
  <c r="D33"/>
  <c r="E38" i="24"/>
  <c r="E47" s="1"/>
  <c r="E61" s="1"/>
  <c r="E62" s="1"/>
  <c r="D64"/>
  <c r="D6" i="35"/>
  <c r="D37" s="1"/>
  <c r="D6" i="25"/>
  <c r="D37" s="1"/>
  <c r="D6" i="23"/>
  <c r="D37" s="1"/>
  <c r="D6" i="37"/>
  <c r="D37" s="1"/>
  <c r="D6" i="26"/>
  <c r="D37" s="1"/>
  <c r="D6" i="22"/>
  <c r="D37" s="1"/>
  <c r="D6" i="24"/>
  <c r="D37" s="1"/>
  <c r="D6" i="36"/>
  <c r="D38" s="1"/>
  <c r="C245" i="9"/>
  <c r="C123"/>
  <c r="C183"/>
  <c r="C65"/>
  <c r="E6" i="22"/>
  <c r="E37" s="1"/>
  <c r="E6" i="35"/>
  <c r="E37" s="1"/>
  <c r="E6" i="37"/>
  <c r="E37" s="1"/>
  <c r="E6" i="36"/>
  <c r="E38" s="1"/>
  <c r="E6" i="26"/>
  <c r="E37" s="1"/>
  <c r="E6" i="24"/>
  <c r="E37" s="1"/>
  <c r="E6" i="25"/>
  <c r="E37" s="1"/>
  <c r="E6" i="23"/>
  <c r="E37" s="1"/>
  <c r="E21" i="16"/>
  <c r="E38" s="1"/>
  <c r="G73" i="21"/>
  <c r="E44"/>
  <c r="E61" s="1"/>
  <c r="E78" s="1"/>
  <c r="D94"/>
  <c r="B78" s="1"/>
  <c r="D92"/>
  <c r="B38" s="1"/>
  <c r="E6"/>
  <c r="E21" s="1"/>
  <c r="E38" s="1"/>
  <c r="G33"/>
  <c r="E46" i="20"/>
  <c r="E61" s="1"/>
  <c r="E78" s="1"/>
  <c r="D91"/>
  <c r="B78" s="1"/>
  <c r="G73"/>
  <c r="E6"/>
  <c r="E21" s="1"/>
  <c r="E38" s="1"/>
  <c r="D89"/>
  <c r="B38" s="1"/>
  <c r="G33"/>
  <c r="E44" i="19"/>
  <c r="G73"/>
  <c r="D94"/>
  <c r="B78" s="1"/>
  <c r="E6"/>
  <c r="E21" s="1"/>
  <c r="E38" s="1"/>
  <c r="D92"/>
  <c r="B38" s="1"/>
  <c r="G33"/>
  <c r="G73" i="18"/>
  <c r="E44"/>
  <c r="E61" s="1"/>
  <c r="E78" s="1"/>
  <c r="D94"/>
  <c r="B78" s="1"/>
  <c r="G33"/>
  <c r="E6"/>
  <c r="E21" s="1"/>
  <c r="E38" s="1"/>
  <c r="D92"/>
  <c r="B38" s="1"/>
  <c r="D94" i="17"/>
  <c r="B78" s="1"/>
  <c r="E44"/>
  <c r="E61" s="1"/>
  <c r="E78" s="1"/>
  <c r="G73"/>
  <c r="D92"/>
  <c r="B38" s="1"/>
  <c r="E6"/>
  <c r="G33"/>
  <c r="E44" i="16"/>
  <c r="E61" s="1"/>
  <c r="E78" s="1"/>
  <c r="D94"/>
  <c r="B78" s="1"/>
  <c r="G73"/>
  <c r="E7" i="42"/>
  <c r="E27" s="1"/>
  <c r="E55" s="1"/>
  <c r="D71"/>
  <c r="B55" s="1"/>
  <c r="G51"/>
  <c r="E61" i="19"/>
  <c r="E78" s="1"/>
  <c r="D64" i="23"/>
  <c r="E7"/>
  <c r="E16" s="1"/>
  <c r="E30" s="1"/>
  <c r="E31" s="1"/>
  <c r="D33"/>
  <c r="E38" i="22"/>
  <c r="E47" s="1"/>
  <c r="E61" s="1"/>
  <c r="E62" s="1"/>
  <c r="D64"/>
  <c r="C94" i="13"/>
  <c r="D6" i="44"/>
  <c r="D55" s="1"/>
  <c r="D64" s="1"/>
  <c r="C130"/>
  <c r="D134" i="8"/>
  <c r="D114"/>
  <c r="B298" i="9"/>
  <c r="C116" i="8"/>
  <c r="C135" s="1"/>
  <c r="C134"/>
  <c r="B16" i="27"/>
  <c r="B61" s="1"/>
  <c r="B63" s="1"/>
  <c r="G121" i="8"/>
  <c r="D6"/>
  <c r="D55" s="1"/>
  <c r="D63" s="1"/>
  <c r="G73" i="15"/>
  <c r="D94"/>
  <c r="B78" s="1"/>
  <c r="E44"/>
  <c r="E61" s="1"/>
  <c r="E78" s="1"/>
  <c r="D92"/>
  <c r="B38" s="1"/>
  <c r="E6"/>
  <c r="E21" s="1"/>
  <c r="E38" s="1"/>
  <c r="G33"/>
  <c r="D94" i="14"/>
  <c r="B78" s="1"/>
  <c r="G73"/>
  <c r="E44"/>
  <c r="E61" s="1"/>
  <c r="E78" s="1"/>
  <c r="G34" i="18"/>
  <c r="G34" i="15"/>
  <c r="D92" i="14"/>
  <c r="B38" s="1"/>
  <c r="E6"/>
  <c r="E21" s="1"/>
  <c r="E38" s="1"/>
  <c r="G33"/>
  <c r="E44" i="13"/>
  <c r="E61" s="1"/>
  <c r="E78" s="1"/>
  <c r="G73"/>
  <c r="D94"/>
  <c r="B78" s="1"/>
  <c r="E6"/>
  <c r="E21" s="1"/>
  <c r="E38" s="1"/>
  <c r="G33"/>
  <c r="D92"/>
  <c r="B38" s="1"/>
  <c r="G32" i="38"/>
  <c r="E44" i="12"/>
  <c r="E61" s="1"/>
  <c r="E78" s="1"/>
  <c r="D94"/>
  <c r="B78" s="1"/>
  <c r="G73"/>
  <c r="E6"/>
  <c r="E21" s="1"/>
  <c r="E38" s="1"/>
  <c r="G33"/>
  <c r="D92"/>
  <c r="B38" s="1"/>
  <c r="G74" i="19"/>
  <c r="D93" i="10"/>
  <c r="B39" s="1"/>
  <c r="G34"/>
  <c r="E6"/>
  <c r="E22" s="1"/>
  <c r="E39" s="1"/>
  <c r="D112" i="44"/>
  <c r="G34" i="19"/>
  <c r="E10" i="8"/>
  <c r="E32" i="38"/>
  <c r="E21" i="17"/>
  <c r="E38" s="1"/>
  <c r="G34"/>
  <c r="G34" i="20"/>
  <c r="D33" i="24" l="1"/>
  <c r="G74" i="10"/>
  <c r="E45"/>
  <c r="E62" s="1"/>
  <c r="E79" s="1"/>
  <c r="D95"/>
  <c r="B79" s="1"/>
  <c r="B119" i="8"/>
  <c r="E39" i="17"/>
  <c r="E40" s="1"/>
  <c r="E80" i="10"/>
  <c r="E81" s="1"/>
  <c r="E25" i="3" s="1"/>
  <c r="E79" i="13"/>
  <c r="E80" s="1"/>
  <c r="E29" i="3" s="1"/>
  <c r="E39" i="12"/>
  <c r="E40" s="1"/>
  <c r="E56" i="42"/>
  <c r="E57" s="1"/>
  <c r="E39" i="13"/>
  <c r="E40" s="1"/>
  <c r="E28" i="3" s="1"/>
  <c r="E39" i="15"/>
  <c r="E40" s="1"/>
  <c r="E32" i="3" s="1"/>
  <c r="E79" i="15"/>
  <c r="E80" s="1"/>
  <c r="E79" i="17"/>
  <c r="E80" s="1"/>
  <c r="E79" i="18"/>
  <c r="E80" s="1"/>
  <c r="E39" i="19"/>
  <c r="E40" s="1"/>
  <c r="E39" i="20"/>
  <c r="E40" s="1"/>
  <c r="E79" i="21"/>
  <c r="E80" s="1"/>
  <c r="E39" i="16"/>
  <c r="E40" s="1"/>
  <c r="E40" i="10"/>
  <c r="E41" s="1"/>
  <c r="E79" i="12"/>
  <c r="E80" s="1"/>
  <c r="E27" i="3" s="1"/>
  <c r="E39" i="14"/>
  <c r="E40" s="1"/>
  <c r="E79"/>
  <c r="E80" s="1"/>
  <c r="E79" i="19"/>
  <c r="E80" s="1"/>
  <c r="E79" i="16"/>
  <c r="E80" s="1"/>
  <c r="E39" i="18"/>
  <c r="E40" s="1"/>
  <c r="E79" i="20"/>
  <c r="E80" s="1"/>
  <c r="E39" i="21"/>
  <c r="E40" s="1"/>
  <c r="E11" i="8"/>
  <c r="F32" i="38"/>
  <c r="E54" i="8"/>
  <c r="G117" s="1"/>
  <c r="D116"/>
  <c r="E6" s="1"/>
  <c r="G112" i="44"/>
  <c r="D130"/>
  <c r="B116" s="1"/>
  <c r="E6"/>
  <c r="E55" s="1"/>
  <c r="E83" i="14" l="1"/>
  <c r="E31" i="3"/>
  <c r="G49" i="12"/>
  <c r="E26" i="3"/>
  <c r="G49" i="14"/>
  <c r="E30" i="3"/>
  <c r="G50" i="10"/>
  <c r="E24" i="3"/>
  <c r="D135" i="8"/>
  <c r="B120" s="1"/>
  <c r="E55"/>
  <c r="E120" s="1"/>
  <c r="E59" i="20"/>
  <c r="F43" i="3"/>
  <c r="H38" i="27"/>
  <c r="G83" i="20" s="1"/>
  <c r="G38" i="27"/>
  <c r="E43" i="3"/>
  <c r="E59" i="16"/>
  <c r="E35" i="3"/>
  <c r="F35"/>
  <c r="G30" i="27"/>
  <c r="H30"/>
  <c r="G83" i="16" s="1"/>
  <c r="G75" i="14"/>
  <c r="F31" i="3"/>
  <c r="E59" i="14"/>
  <c r="G26" i="27"/>
  <c r="H26" s="1"/>
  <c r="E59" i="12"/>
  <c r="G22" i="27"/>
  <c r="G75" i="12"/>
  <c r="F27" i="3"/>
  <c r="E19" i="16"/>
  <c r="E34" i="3"/>
  <c r="F34"/>
  <c r="G29" i="27"/>
  <c r="H29" s="1"/>
  <c r="G43" i="16" s="1"/>
  <c r="G35"/>
  <c r="E19" i="20"/>
  <c r="G37" i="27"/>
  <c r="E42" i="3"/>
  <c r="F42"/>
  <c r="G35" i="20"/>
  <c r="H37" i="27"/>
  <c r="G43" i="20" s="1"/>
  <c r="E59" i="18"/>
  <c r="H34" i="27"/>
  <c r="G83" i="18" s="1"/>
  <c r="G34" i="27"/>
  <c r="E39" i="3"/>
  <c r="F39"/>
  <c r="E59" i="15"/>
  <c r="G28" i="27"/>
  <c r="H28" s="1"/>
  <c r="G83" i="15" s="1"/>
  <c r="E33" i="3"/>
  <c r="F33" s="1"/>
  <c r="E19" i="13"/>
  <c r="F28" i="3"/>
  <c r="G35" i="13"/>
  <c r="K35" s="1"/>
  <c r="G23" i="27"/>
  <c r="H23" s="1"/>
  <c r="E19" i="12"/>
  <c r="G21" i="27"/>
  <c r="F26" i="3"/>
  <c r="G35" i="12"/>
  <c r="K35" s="1"/>
  <c r="E60" i="10"/>
  <c r="G20" i="27"/>
  <c r="F25" i="3"/>
  <c r="G76" i="10"/>
  <c r="K76" s="1"/>
  <c r="E19" i="21"/>
  <c r="H39" i="27"/>
  <c r="G43" i="21" s="1"/>
  <c r="G39" i="27"/>
  <c r="E44" i="3"/>
  <c r="F44"/>
  <c r="G35" i="18"/>
  <c r="H33" i="27"/>
  <c r="G43" i="18" s="1"/>
  <c r="F38" i="3"/>
  <c r="E38"/>
  <c r="E19" i="18"/>
  <c r="G33" i="27"/>
  <c r="E59" i="19"/>
  <c r="F41" i="3"/>
  <c r="E41"/>
  <c r="G36" i="27"/>
  <c r="H36"/>
  <c r="G83" i="19" s="1"/>
  <c r="E19" i="14"/>
  <c r="G25" i="27"/>
  <c r="F30" i="3"/>
  <c r="E20" i="10"/>
  <c r="F24" i="3"/>
  <c r="G19" i="27"/>
  <c r="H19" s="1"/>
  <c r="G36" i="10"/>
  <c r="G37" s="1"/>
  <c r="G40" s="1"/>
  <c r="E59" i="21"/>
  <c r="F45" i="3"/>
  <c r="G40" i="27"/>
  <c r="E45" i="3"/>
  <c r="G75" i="21"/>
  <c r="H40" i="27"/>
  <c r="G83" i="21" s="1"/>
  <c r="E19" i="19"/>
  <c r="F40" i="3"/>
  <c r="G35" i="27"/>
  <c r="H35"/>
  <c r="G43" i="19" s="1"/>
  <c r="E40" i="3"/>
  <c r="G35" i="19"/>
  <c r="K35" s="1"/>
  <c r="E59" i="17"/>
  <c r="E37" i="3"/>
  <c r="F37"/>
  <c r="G32" i="27"/>
  <c r="H32"/>
  <c r="G83" i="17" s="1"/>
  <c r="G35" i="15"/>
  <c r="G27" i="27"/>
  <c r="F32" i="3"/>
  <c r="E19" i="15"/>
  <c r="E25" i="42"/>
  <c r="J33" i="33"/>
  <c r="J35" s="1"/>
  <c r="G53" i="42"/>
  <c r="K53" s="1"/>
  <c r="G17" i="27"/>
  <c r="H17"/>
  <c r="G61" i="42" s="1"/>
  <c r="F22" i="3"/>
  <c r="E22"/>
  <c r="E59" i="13"/>
  <c r="F29" i="3"/>
  <c r="G24" i="27"/>
  <c r="E19" i="17"/>
  <c r="F36" i="3"/>
  <c r="H31" i="27"/>
  <c r="G43" i="17" s="1"/>
  <c r="G35"/>
  <c r="E36" i="3"/>
  <c r="G31" i="27"/>
  <c r="G35" i="14"/>
  <c r="G36" s="1"/>
  <c r="G39" s="1"/>
  <c r="G75" i="15"/>
  <c r="G75" i="18"/>
  <c r="G76" s="1"/>
  <c r="G79" s="1"/>
  <c r="G75" i="20"/>
  <c r="G76" s="1"/>
  <c r="G79" s="1"/>
  <c r="G35" i="21"/>
  <c r="G75" i="16"/>
  <c r="G75" i="19"/>
  <c r="G75" i="17"/>
  <c r="G75" i="13"/>
  <c r="K75" i="20"/>
  <c r="K75" i="18"/>
  <c r="K75" i="14"/>
  <c r="G76"/>
  <c r="G79" s="1"/>
  <c r="G116" i="8"/>
  <c r="G54" i="42"/>
  <c r="G57" s="1"/>
  <c r="E116" i="44"/>
  <c r="E64"/>
  <c r="K35" i="14" l="1"/>
  <c r="G77" i="10"/>
  <c r="G80" s="1"/>
  <c r="H24" i="27"/>
  <c r="G83" i="13" s="1"/>
  <c r="H20" i="27"/>
  <c r="G84" i="10" s="1"/>
  <c r="G44"/>
  <c r="G43" i="13"/>
  <c r="G83" i="14"/>
  <c r="H27" i="27"/>
  <c r="G43" i="15" s="1"/>
  <c r="H25" i="27"/>
  <c r="G43" i="14" s="1"/>
  <c r="H21" i="27"/>
  <c r="G43" i="12" s="1"/>
  <c r="H22" i="27"/>
  <c r="G83" i="12" s="1"/>
  <c r="E63" i="8"/>
  <c r="G36" i="19"/>
  <c r="G39" s="1"/>
  <c r="K36" i="10"/>
  <c r="G36" i="13"/>
  <c r="G39" s="1"/>
  <c r="G36" i="12"/>
  <c r="G39" s="1"/>
  <c r="K75" i="17"/>
  <c r="G76"/>
  <c r="G79" s="1"/>
  <c r="K75" i="15"/>
  <c r="G76"/>
  <c r="G79" s="1"/>
  <c r="K35" i="17"/>
  <c r="G36"/>
  <c r="G39" s="1"/>
  <c r="K75" i="13"/>
  <c r="G76"/>
  <c r="G79" s="1"/>
  <c r="K75" i="19"/>
  <c r="G76"/>
  <c r="G79" s="1"/>
  <c r="K35" i="21"/>
  <c r="G36"/>
  <c r="G39" s="1"/>
  <c r="K35" i="15"/>
  <c r="G36"/>
  <c r="G39" s="1"/>
  <c r="K35" i="20"/>
  <c r="G36"/>
  <c r="G39" s="1"/>
  <c r="K75" i="12"/>
  <c r="G76"/>
  <c r="G79" s="1"/>
  <c r="E121" i="8"/>
  <c r="E122" s="1"/>
  <c r="E21" i="3" s="1"/>
  <c r="E117" i="44"/>
  <c r="E118" s="1"/>
  <c r="E23" i="3" s="1"/>
  <c r="K75" i="16"/>
  <c r="G76"/>
  <c r="G79" s="1"/>
  <c r="K75" i="21"/>
  <c r="G76"/>
  <c r="G79" s="1"/>
  <c r="K35" i="18"/>
  <c r="G36"/>
  <c r="G39" s="1"/>
  <c r="K35" i="16"/>
  <c r="G36"/>
  <c r="G39" s="1"/>
  <c r="G18" i="27" l="1"/>
  <c r="E53" i="44"/>
  <c r="F23" i="3"/>
  <c r="G114" i="44"/>
  <c r="K114" s="1"/>
  <c r="F21" i="3"/>
  <c r="E53" i="8"/>
  <c r="G16" i="27"/>
  <c r="G118" i="8"/>
  <c r="K118" s="1"/>
  <c r="H18" i="27" l="1"/>
  <c r="G122" i="44" s="1"/>
  <c r="H16" i="27"/>
  <c r="G126" i="8" s="1"/>
  <c r="F66" i="3"/>
  <c r="E66"/>
  <c r="G119" i="8"/>
  <c r="G122" s="1"/>
  <c r="G115" i="44"/>
  <c r="G118" s="1"/>
  <c r="G61" i="27"/>
  <c r="H61" l="1"/>
  <c r="M69" s="1"/>
  <c r="M72"/>
  <c r="M63"/>
  <c r="M65" s="1"/>
  <c r="G85" i="14" l="1"/>
  <c r="G85" i="21"/>
  <c r="G85" i="13"/>
  <c r="G85" i="18"/>
  <c r="G45" i="16"/>
  <c r="G85" i="12"/>
  <c r="G45" i="21"/>
  <c r="G45" i="18"/>
  <c r="G85" i="16"/>
  <c r="G45" i="14"/>
  <c r="G45" i="17"/>
  <c r="G45" i="12"/>
  <c r="G45" i="20"/>
  <c r="G45" i="15"/>
  <c r="G86" i="10"/>
  <c r="G45" i="13"/>
  <c r="G85" i="20"/>
  <c r="G124" i="44"/>
  <c r="G46" i="10"/>
  <c r="G128" i="8"/>
  <c r="G85" i="19"/>
  <c r="G45"/>
  <c r="G63" i="42"/>
  <c r="G85" i="15"/>
  <c r="G85" i="17"/>
  <c r="M58" i="27"/>
  <c r="J58" s="1"/>
  <c r="M59"/>
  <c r="J59" s="1"/>
</calcChain>
</file>

<file path=xl/sharedStrings.xml><?xml version="1.0" encoding="utf-8"?>
<sst xmlns="http://schemas.openxmlformats.org/spreadsheetml/2006/main" count="2919" uniqueCount="1118">
  <si>
    <t>Outstanding Indebtness, January 1:</t>
  </si>
  <si>
    <t xml:space="preserve">  G.O. Bonds</t>
  </si>
  <si>
    <t xml:space="preserve">  Revenue Bonds</t>
  </si>
  <si>
    <t xml:space="preserve">  Other</t>
  </si>
  <si>
    <t xml:space="preserve">  Lease Purchase Principal</t>
  </si>
  <si>
    <t>We, the undersigned, officers of</t>
  </si>
  <si>
    <t>Attest: ______________________</t>
  </si>
  <si>
    <t>Special City &amp; County Highway</t>
  </si>
  <si>
    <t>County Equalization</t>
  </si>
  <si>
    <t>Expenditures from detail page:</t>
  </si>
  <si>
    <t>Other County</t>
  </si>
  <si>
    <t>Special District Funds</t>
  </si>
  <si>
    <t xml:space="preserve">Other County </t>
  </si>
  <si>
    <t>CERTIFICATE (2)</t>
  </si>
  <si>
    <t>NON-BUDGETED FUNDS (A)</t>
  </si>
  <si>
    <t>Non-Budgeted Funds-A</t>
  </si>
  <si>
    <t>(1) Fund Name:</t>
  </si>
  <si>
    <t>(2) Fund Name:</t>
  </si>
  <si>
    <t>(3) Fund Name:</t>
  </si>
  <si>
    <t>(4) Fund Name:</t>
  </si>
  <si>
    <t>(5) Fund Name:</t>
  </si>
  <si>
    <t xml:space="preserve">Unencumbered </t>
  </si>
  <si>
    <t>Cash Balance Dec 31</t>
  </si>
  <si>
    <t>NON-BUDGETED FUNDS (B)</t>
  </si>
  <si>
    <t>Non-Budgeted Funds-B</t>
  </si>
  <si>
    <t>NON-BUDGETED FUNDS (C)</t>
  </si>
  <si>
    <t>Non-Budgeted Funds-C</t>
  </si>
  <si>
    <t>NON-BUDGETED FUNDS (D)</t>
  </si>
  <si>
    <t>Non-Budgeted Funds-D</t>
  </si>
  <si>
    <t>Other non-tax levy fund names:</t>
  </si>
  <si>
    <t xml:space="preserve">  Subtotal</t>
  </si>
  <si>
    <r>
      <t>Total  Detail Expenditures</t>
    </r>
    <r>
      <rPr>
        <sz val="12"/>
        <color indexed="10"/>
        <rFont val="Times New Roman"/>
        <family val="1"/>
      </rPr>
      <t>**</t>
    </r>
  </si>
  <si>
    <r>
      <t>**</t>
    </r>
    <r>
      <rPr>
        <sz val="12"/>
        <rFont val="Times New Roman"/>
        <family val="1"/>
      </rPr>
      <t xml:space="preserve"> Note: The Total Detail Expenditures amount should agree to the General Subtotal amounts.</t>
    </r>
  </si>
  <si>
    <r>
      <t>**</t>
    </r>
    <r>
      <rPr>
        <sz val="12"/>
        <rFont val="Times New Roman"/>
        <family val="1"/>
      </rPr>
      <t xml:space="preserve"> Note: The Total Detail Expenditures amounts should agree to Road Subtotal amounts.</t>
    </r>
  </si>
  <si>
    <r>
      <t>Total Detail Expenditures</t>
    </r>
    <r>
      <rPr>
        <sz val="12"/>
        <color indexed="10"/>
        <rFont val="Times New Roman"/>
        <family val="1"/>
      </rPr>
      <t>**</t>
    </r>
  </si>
  <si>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</si>
  <si>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</si>
  <si>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</si>
  <si>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</si>
  <si>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Read these instructions carefully.  If after reviewing them you still have questions, call Municipal Services at 785-296-2311 or e-mail : armunis@da.ks.gov</t>
  </si>
  <si>
    <t>All dollar amounts should be rounded to whole dollars (do not record cents).</t>
  </si>
  <si>
    <t>The blue areas indicated where the information comes from to complete the section input.</t>
  </si>
  <si>
    <t xml:space="preserve">3. Hard coded the Bond &amp; Interest, and Road &amp; Bridge on Certificate and Summary pages. </t>
  </si>
  <si>
    <t xml:space="preserve">7. Now have the indebtedness prior year added to the input page and link with the budget summary page. </t>
  </si>
  <si>
    <t>10. Changed the Budget Summary Heading to include Actual/Estimate/Proposed with the budget year.</t>
  </si>
  <si>
    <t>11. Changed the delinquency rate formula for all levy funds.</t>
  </si>
  <si>
    <t>16. Add total section for Schedule of Transfers and linked the total to the Budget Summary page.</t>
  </si>
  <si>
    <t>17. Added column to show when debt retired on the Indebtedness page.</t>
  </si>
  <si>
    <t>18. Certificate (2) added (2) after Certificate at top of page, removed the certification at the top, and added column for Nov 1 valuation.</t>
  </si>
  <si>
    <t>21. On the Budget Summary page (2) added column for July1 valuation and computation to compute mil rates.</t>
  </si>
  <si>
    <t>20. Added 4 non-budgeted pages for 20 non-budgeted funds.</t>
  </si>
  <si>
    <t>Budget Summary</t>
  </si>
  <si>
    <t>xxxxx</t>
  </si>
  <si>
    <t>Resolution</t>
  </si>
  <si>
    <t>Is a Resolution required?</t>
  </si>
  <si>
    <t>22. Added Resolution statement on Certificate page.</t>
  </si>
  <si>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</si>
  <si>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</si>
  <si>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13. Added page number on the Resolution page.</t>
  </si>
  <si>
    <t>8. Added Resolution statement on Certificate page.</t>
  </si>
  <si>
    <t>Note:  All amounts are to be entered in as whole numbers only.</t>
  </si>
  <si>
    <t>23. Added computation to Certificate page 2 to comp mil rates.</t>
  </si>
  <si>
    <t>24. Added note on General and Road detail pages to ensure the General and Road subtotals are in agreement.</t>
  </si>
  <si>
    <t>**</t>
  </si>
  <si>
    <t>**Note: These two block figures should agree.</t>
  </si>
  <si>
    <t>25. Added to instructions about non-appropriated balance limited to 5%.</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</si>
  <si>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</si>
  <si>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29. Added Slider to the Vehicle Allocation table and linked to fund pages.</t>
  </si>
  <si>
    <t>xxxxxxxxxxxxxxxxxxxx</t>
  </si>
  <si>
    <t>30. Added to all budgeted fund pages the budget authority for the actual year, budget violation, and cash violation.</t>
  </si>
  <si>
    <t>31. Added instruction on the addition for item 30.</t>
  </si>
  <si>
    <t>Funds</t>
  </si>
  <si>
    <t xml:space="preserve">expenditure amounts should reflect the amended </t>
  </si>
  <si>
    <t>expenditure amounts.</t>
  </si>
  <si>
    <t xml:space="preserve">Tax Levy Rate </t>
  </si>
  <si>
    <t>Miscellaneous</t>
  </si>
  <si>
    <t>Does miscellaneous exceed 10% of Total Receipts</t>
  </si>
  <si>
    <t>Neighborhood Revitalization Rebate</t>
  </si>
  <si>
    <t>Does miscellaneous exceed 10% of Total Expenditure</t>
  </si>
  <si>
    <t xml:space="preserve">The worksheets are named (see the tab) in each budget workbook.  We will identify the worksheet by referencing the tab in parentheses (i.e. General Fund reference would be 'general'). </t>
  </si>
  <si>
    <r>
      <t xml:space="preserve">The General fund has a detail page (gen-detail) which can be used to disclose more insight of the General Fund expenditures by a department.  The detail page department name and total is linked to the General Fund page. You do not have to use the department names that are currently showing, as these can be changed to meet the need of the county. The last detail page contains all the total of the detail pages and this total amount should agree with the subtotal on the General page. If the totals do not agree, then change the figures on the detail page and </t>
    </r>
    <r>
      <rPr>
        <b/>
        <sz val="12"/>
        <rFont val="Times New Roman"/>
        <family val="1"/>
      </rPr>
      <t>not</t>
    </r>
    <r>
      <rPr>
        <sz val="12"/>
        <rFont val="Times New Roman"/>
        <family val="1"/>
      </rPr>
      <t xml:space="preserve"> on the General page.  If the detail page is used, please ensure to print the detail page and attach it to the budget.</t>
    </r>
  </si>
  <si>
    <t>The Road &amp; Bridge fund has a detail page (road-detail) which can be used to disclose more insight of the Road &amp; Bridge department expenditures.  The detail page department and total is linked to the Road fund page. You do not have to use the department names that are currently showing, as these can be changed to meet the need of the county. The detail totals should agree to the Road &amp; Bridge fund page subtotals and if they do not, then make corrections on the detail page only.  If the detail page is used, please remember to print the page.</t>
  </si>
  <si>
    <t>Red areas are for notes or indicate a problem area that will need possible corrective action taken.</t>
  </si>
  <si>
    <t>All of the county's budgets should be submitted to Municipal Services by December 1.</t>
  </si>
  <si>
    <r>
      <t xml:space="preserve">Completed budgets may be submitted to Municipal Services on 3.5 computer disk, CD, or as an attachment to an email.  If submitting by email, please mail to the following address: </t>
    </r>
    <r>
      <rPr>
        <u/>
        <sz val="12"/>
        <rFont val="Times New Roman"/>
        <family val="1"/>
      </rPr>
      <t>armunis@da.ks.gov</t>
    </r>
    <r>
      <rPr>
        <sz val="12"/>
        <rFont val="Times New Roman"/>
        <family val="1"/>
      </rPr>
      <t xml:space="preserve">. Naming the files should start with 'co' for county, 'ci' for cities, 'to' for townships, and 'sp' for special districts.  </t>
    </r>
  </si>
  <si>
    <t xml:space="preserve">Additional Certificate (cert2) and Budget Summary (summ2) pages are available for adding Special Districts. If Special Districts are submitted with the county's budget, please ensure to include the Special Districts' Computation to Determine Levy Limit computation page, and fund pages. </t>
  </si>
  <si>
    <t>Cash Balance Jan 1</t>
  </si>
  <si>
    <t>Budget Summary2</t>
  </si>
  <si>
    <t>35. Added 'excluding oil, gas, and mobile homes' to lines 7 and 9 on Clerks budget info on tab inputoth.</t>
  </si>
  <si>
    <t>***If you are merely leasing/renting with no intent to purchase, do not list--such transactions are not lease-purchases.</t>
  </si>
  <si>
    <t>34. Expanded on the preparation of budget note 11 for instructions for the Notice of Budget Hearing.</t>
  </si>
  <si>
    <t>The following were changed to this spreadsheet on 5/08/2008</t>
  </si>
  <si>
    <r>
      <t>1. Change all the Non-Budgeted Funds forms from 'Only the actual budget year shown' to read '</t>
    </r>
    <r>
      <rPr>
        <i/>
        <sz val="12"/>
        <rFont val="Times New Roman"/>
        <family val="1"/>
      </rPr>
      <t>Only the actual budget year for YYYY is to be shown</t>
    </r>
    <r>
      <rPr>
        <sz val="12"/>
        <rFont val="Times New Roman"/>
        <family val="1"/>
      </rPr>
      <t>'.</t>
    </r>
  </si>
  <si>
    <t>2. Change Legend #34 from 'note 10' to 'note 11'.</t>
  </si>
  <si>
    <t>3. The revision date was changed.</t>
  </si>
  <si>
    <t>The following were changed to this spreadsheet on 7/01/08</t>
  </si>
  <si>
    <t>2. Changed the formula for unencumbered cash balances for NonBudA to NonBudD to show a negative balance.</t>
  </si>
  <si>
    <t>3. Added box under unencumbered cash balance for NonBudA to NonBudD to reflect a negative ending cash balance.</t>
  </si>
  <si>
    <t>1. Added instructions to 9d for the NonBudA to NonBudD tabs explaining about negative cash balance.</t>
  </si>
  <si>
    <t xml:space="preserve">Ad Valorem Tax </t>
  </si>
  <si>
    <t xml:space="preserve">County.xls spreadsheet has General Fund, Debt Service, Road &amp; Bridge, 22 levy fund pages, 16 no levy fund pages, and 20 non-budgeted funds. </t>
  </si>
  <si>
    <t>1. Input tab (inputPrYr) added column for the current year expenditures.</t>
  </si>
  <si>
    <t>2. Statement of Indebtedness (debt) added lines to all categories.</t>
  </si>
  <si>
    <t xml:space="preserve">3. All tax levy funds and no tax levy funds fund pages made the following changes: </t>
  </si>
  <si>
    <r>
      <t>3a. Made the total expenditures block for the actual and current year to turn '</t>
    </r>
    <r>
      <rPr>
        <sz val="12"/>
        <color indexed="10"/>
        <rFont val="Times New Roman"/>
        <family val="1"/>
      </rPr>
      <t>Red</t>
    </r>
    <r>
      <rPr>
        <sz val="12"/>
        <rFont val="Times New Roman"/>
        <family val="1"/>
      </rPr>
      <t>' if violation occurs.</t>
    </r>
  </si>
  <si>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</si>
  <si>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</si>
  <si>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</si>
  <si>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</si>
  <si>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made the estimate rebate round the figures to whole dollars.</t>
  </si>
  <si>
    <t xml:space="preserve">7. Instruction page have changed all reference for Bond &amp; Interest to Debt Service. </t>
  </si>
  <si>
    <t>7a. Added instruction line 4a to explain about no-fund warrants and temporary notes can be added to the debt service on the Computation to Determine Levy Limit.</t>
  </si>
  <si>
    <t>7b. Added instruction line 9c to explain more about the debt service fund page can included for debts.</t>
  </si>
  <si>
    <t>8. Added to the instruction page lines 10a - 10c to provide a little more insight for the Neighborhood Revitalization rebate.</t>
  </si>
  <si>
    <t>9. Added 2b to explain how to delete delinquency rate from tax levy fund pages.</t>
  </si>
  <si>
    <t>10. Changed the Bond &amp; Interest tab (B&amp;I) to Debt Service tab (DebtService).</t>
  </si>
  <si>
    <t>11. Changed the revised date on all pages changed.</t>
  </si>
  <si>
    <t>12. Added instruction lines 9h to 9j for additional edits for budget authority.</t>
  </si>
  <si>
    <t>13. Added to instruction line 9c about the miscellaneous receipt for the proposed year takes into account the ad valorem taxes for the 10% Rule.</t>
  </si>
  <si>
    <t>14. Added to instruction line 6 for using chartered ordinance number in place of statute reference.</t>
  </si>
  <si>
    <t>2b. If the county chooses not to use the delinquency rate for all tax levy funds, then the county must delete the rate from those funds. First step, go to the fund tab of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</si>
  <si>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The following were changed to this spreadsheet on 9/04/08</t>
  </si>
  <si>
    <t>Budget Summary Page</t>
  </si>
  <si>
    <t>27. Added Neighborhood Revitalization table and linked to the tax levy fund pages.</t>
  </si>
  <si>
    <t>32. Added 'miscellaneous' category to the receipt/expenditure for all fund pages and set error message.</t>
  </si>
  <si>
    <t>33. Added to the instruction about correct the error message for the miscellaneous.</t>
  </si>
  <si>
    <t>9. Added Neighborhood Revitalization, LAVTR, City and County Revenue Sharing, and Slider to the input page and to the General Fund page. Added NR to each tax levy fund page.</t>
  </si>
  <si>
    <t xml:space="preserve">General Instructions </t>
  </si>
  <si>
    <t>To print the spreadsheets, you can either print one sheet at a time or all of the sheets at once.</t>
  </si>
  <si>
    <t>Computer Spreadsheet Preparation</t>
  </si>
  <si>
    <t>Statute</t>
  </si>
  <si>
    <t>General</t>
  </si>
  <si>
    <t>Total</t>
  </si>
  <si>
    <t>Motor Vehicle Tax Estimate</t>
  </si>
  <si>
    <t>Recreational Vehicle Tax Estimate</t>
  </si>
  <si>
    <t>certify that: (1) the hearing mentioned in the attached publication was held;</t>
  </si>
  <si>
    <t>(2) after the Budget Hearing this budget was duly approved and adopted as the</t>
  </si>
  <si>
    <t>Page</t>
  </si>
  <si>
    <t>County Clerk's</t>
  </si>
  <si>
    <t>Table of Contents:</t>
  </si>
  <si>
    <t>No.</t>
  </si>
  <si>
    <t>Expenditures</t>
  </si>
  <si>
    <t>Use Only</t>
  </si>
  <si>
    <t>Statement of Indebtedness</t>
  </si>
  <si>
    <t>Statement of Lease-Purchases</t>
  </si>
  <si>
    <t>Fund</t>
  </si>
  <si>
    <t>K.S.A.</t>
  </si>
  <si>
    <t>TOTALS</t>
  </si>
  <si>
    <t>x</t>
  </si>
  <si>
    <t>Assisted by:</t>
  </si>
  <si>
    <t>Governing Body</t>
  </si>
  <si>
    <t>County Clerk</t>
  </si>
  <si>
    <t>Amount</t>
  </si>
  <si>
    <t>TOTAL</t>
  </si>
  <si>
    <t>County Treas Motor Vehicle Estimate</t>
  </si>
  <si>
    <t>County Treasurers Recreational Vehicle Estimate</t>
  </si>
  <si>
    <t>Motor Vehicle Factor</t>
  </si>
  <si>
    <t>MVT</t>
  </si>
  <si>
    <t>Totals</t>
  </si>
  <si>
    <t>Adopted Budget</t>
  </si>
  <si>
    <t>Ad Valorem Tax</t>
  </si>
  <si>
    <t>Delinquent Tax</t>
  </si>
  <si>
    <t>Motor Vehicle Tax</t>
  </si>
  <si>
    <t>Recreational Vehicle Tax</t>
  </si>
  <si>
    <t>Local Alcoholic Liquor</t>
  </si>
  <si>
    <t>In Lieu of Taxes (IRB)</t>
  </si>
  <si>
    <t>Mineral Production Tax</t>
  </si>
  <si>
    <t>Interest on Idle Funds</t>
  </si>
  <si>
    <t>Total Receipts</t>
  </si>
  <si>
    <t>Resources Available:</t>
  </si>
  <si>
    <t xml:space="preserve">Page No. </t>
  </si>
  <si>
    <t xml:space="preserve">General </t>
  </si>
  <si>
    <t>Expenditures:</t>
  </si>
  <si>
    <t>Total Expenditures</t>
  </si>
  <si>
    <t>Tax Required</t>
  </si>
  <si>
    <t>%</t>
  </si>
  <si>
    <t>General Fund - Detail Expend</t>
  </si>
  <si>
    <t xml:space="preserve">  Salaries</t>
  </si>
  <si>
    <t xml:space="preserve">  Contractual</t>
  </si>
  <si>
    <t xml:space="preserve">  Commodities</t>
  </si>
  <si>
    <t xml:space="preserve">  Capital Outlay</t>
  </si>
  <si>
    <t>Debt Service</t>
  </si>
  <si>
    <t xml:space="preserve">  Retirement</t>
  </si>
  <si>
    <t xml:space="preserve">  Workers Compensation</t>
  </si>
  <si>
    <t xml:space="preserve">  Unemployment</t>
  </si>
  <si>
    <t>Road &amp; Bridge</t>
  </si>
  <si>
    <t xml:space="preserve">  Judgments</t>
  </si>
  <si>
    <t>Other</t>
  </si>
  <si>
    <t>Page No.</t>
  </si>
  <si>
    <t xml:space="preserve"> </t>
  </si>
  <si>
    <t>Actual</t>
  </si>
  <si>
    <t>Est.</t>
  </si>
  <si>
    <t xml:space="preserve">     FUND</t>
  </si>
  <si>
    <t>Tax Rate*</t>
  </si>
  <si>
    <t>Less: Transfers</t>
  </si>
  <si>
    <t>Net Expenditure</t>
  </si>
  <si>
    <t>Total Tax Levied</t>
  </si>
  <si>
    <t>Assessed Valuation</t>
  </si>
  <si>
    <t>Outstanding Indebtedness,</t>
  </si>
  <si>
    <t xml:space="preserve">  January 1,</t>
  </si>
  <si>
    <t>G.O. Bonds</t>
  </si>
  <si>
    <t>Revenue Bonds</t>
  </si>
  <si>
    <t xml:space="preserve">     Total</t>
  </si>
  <si>
    <t xml:space="preserve">  *Tax rates are expressed in mills</t>
  </si>
  <si>
    <t>Clerk</t>
  </si>
  <si>
    <t>Date</t>
  </si>
  <si>
    <t xml:space="preserve">   Amount Due</t>
  </si>
  <si>
    <t>of</t>
  </si>
  <si>
    <t>Rate</t>
  </si>
  <si>
    <t xml:space="preserve">  Date Due</t>
  </si>
  <si>
    <t>Issue</t>
  </si>
  <si>
    <t>Issued</t>
  </si>
  <si>
    <t>General Obligation:</t>
  </si>
  <si>
    <t>Total G.O. Bonds</t>
  </si>
  <si>
    <t>Revenue Bonds:</t>
  </si>
  <si>
    <t>Total Revenue Bonds</t>
  </si>
  <si>
    <t>Other:</t>
  </si>
  <si>
    <t>Total Indebtedness</t>
  </si>
  <si>
    <t>Term of</t>
  </si>
  <si>
    <t>Interest</t>
  </si>
  <si>
    <t>Principal</t>
  </si>
  <si>
    <t>Payments</t>
  </si>
  <si>
    <t xml:space="preserve">  Contract</t>
  </si>
  <si>
    <t>Contract</t>
  </si>
  <si>
    <t>Financed</t>
  </si>
  <si>
    <t>Due</t>
  </si>
  <si>
    <t>(Months)</t>
  </si>
  <si>
    <t>16/20 M Vehicle Tax</t>
  </si>
  <si>
    <t>CERTIFICATE</t>
  </si>
  <si>
    <t>STATEMENT OF CONDITIONAL LEASE-PURCHASE AND CERTIFICATE OF PARTICIPATION*</t>
  </si>
  <si>
    <t>NOTICE OF BUDGET HEARING</t>
  </si>
  <si>
    <t>BUDGET SUMMARY</t>
  </si>
  <si>
    <t>FUND PAGE - GENERAL</t>
  </si>
  <si>
    <t>FUND PAGE - GENERAL DETAIL</t>
  </si>
  <si>
    <t>FUND PAGE - ROAD</t>
  </si>
  <si>
    <t>FUND PAGE - ROAD DETAIL</t>
  </si>
  <si>
    <t>FUND PAGE FOR FUNDS WITH A TAX LEVY</t>
  </si>
  <si>
    <t>FUND PAGE FOR FUNDS WITH NO TAX LEVY</t>
  </si>
  <si>
    <t>STATEMENT OF INDEBTEDNESS</t>
  </si>
  <si>
    <t>RVT</t>
  </si>
  <si>
    <t>County Treasurers 16/20M Vehicle Estimate</t>
  </si>
  <si>
    <t>16/20M Vehicle Tax Estimate</t>
  </si>
  <si>
    <t>Amount of Levy</t>
  </si>
  <si>
    <t xml:space="preserve"> 1.</t>
  </si>
  <si>
    <t>+</t>
  </si>
  <si>
    <t>$</t>
  </si>
  <si>
    <t xml:space="preserve"> 2.</t>
  </si>
  <si>
    <t>-</t>
  </si>
  <si>
    <t xml:space="preserve"> 3.</t>
  </si>
  <si>
    <t xml:space="preserve"> 4.</t>
  </si>
  <si>
    <t xml:space="preserve"> 5.</t>
  </si>
  <si>
    <t>5a.</t>
  </si>
  <si>
    <t>5b.</t>
  </si>
  <si>
    <t>5c.</t>
  </si>
  <si>
    <t>6.</t>
  </si>
  <si>
    <t>9.</t>
  </si>
  <si>
    <t>10.</t>
  </si>
  <si>
    <t>11.</t>
  </si>
  <si>
    <t>12.</t>
  </si>
  <si>
    <t>(Use Only if &gt; 0)</t>
  </si>
  <si>
    <t>16/20M Vehicle Tax</t>
  </si>
  <si>
    <t xml:space="preserve">The governing body of </t>
  </si>
  <si>
    <t>Gross Earnings (Intangible) Tax</t>
  </si>
  <si>
    <t>7.</t>
  </si>
  <si>
    <t>8.</t>
  </si>
  <si>
    <t>Balance On</t>
  </si>
  <si>
    <t>16/20M Veh</t>
  </si>
  <si>
    <t>Tax Levy Excluding Debt Service</t>
  </si>
  <si>
    <r>
      <t xml:space="preserve">Total Valuation Adjustment </t>
    </r>
    <r>
      <rPr>
        <sz val="12"/>
        <rFont val="Times New Roman"/>
        <family val="1"/>
      </rPr>
      <t>(Sum of 4, 5c, and 6)</t>
    </r>
  </si>
  <si>
    <t>Increase in Personal Property (5a minus 5b)</t>
  </si>
  <si>
    <t>Amount of Increase (10 times 3)</t>
  </si>
  <si>
    <t>Factor for Increase (7 divided by 9)</t>
  </si>
  <si>
    <t>Total Valuation less Valuation Adjustment (8 minus 7)</t>
  </si>
  <si>
    <t>adopt a resolution to exceed this limit and attach a copy to this budget.</t>
  </si>
  <si>
    <t>13.</t>
  </si>
  <si>
    <t>14.</t>
  </si>
  <si>
    <t>Maximum Tax Levy, excluding debt service, without a Resolution (3 plus 11)</t>
  </si>
  <si>
    <t>Maximum levy, including debt service, without a Resolution (12 plus 13)</t>
  </si>
  <si>
    <t>Unencumbered Cash Balance Jan 1</t>
  </si>
  <si>
    <t>Unencumbered Cash Balance Dec 31</t>
  </si>
  <si>
    <t>Receipts:</t>
  </si>
  <si>
    <t xml:space="preserve">Enter information  in all areas that are green if they apply to the budget you are preparing. </t>
  </si>
  <si>
    <t>79-1946</t>
  </si>
  <si>
    <t>Schedule of Transfers</t>
  </si>
  <si>
    <t>Outstanding</t>
  </si>
  <si>
    <t>(Beginning Principal)</t>
  </si>
  <si>
    <t>Estimated Tax Rate is subject to change depending on the final assessed valuation.</t>
  </si>
  <si>
    <t>Lease Pur. Princ.</t>
  </si>
  <si>
    <t>Page No. 7</t>
  </si>
  <si>
    <t>Page No. 7a</t>
  </si>
  <si>
    <t>Page 7b</t>
  </si>
  <si>
    <t>Page 7c</t>
  </si>
  <si>
    <t>Page 7d</t>
  </si>
  <si>
    <t>Page 7e</t>
  </si>
  <si>
    <t>COUNTY RESOLUTION</t>
  </si>
  <si>
    <t>RESOLUTION NO.__________________</t>
  </si>
  <si>
    <t>Whereas, budgeting, taxing and service level decisions for all county services are the responsibility of the board of county commissioners; and</t>
  </si>
  <si>
    <t>Whereas, the cost of provision of these services continues to increase; and</t>
  </si>
  <si>
    <t>BOARD OF COUNTY COMMISSIONERS</t>
  </si>
  <si>
    <t>___________________________________.</t>
  </si>
  <si>
    <t>ATTEST:</t>
  </si>
  <si>
    <t>________________________________.</t>
  </si>
  <si>
    <t>, County Clerk</t>
  </si>
  <si>
    <t>(Attach a signed copy to the budget)</t>
  </si>
  <si>
    <t xml:space="preserve">                                                                          16/20M Vehicle Factor</t>
  </si>
  <si>
    <t xml:space="preserve">                                         Recreational Vehicle Factor</t>
  </si>
  <si>
    <t>Current</t>
  </si>
  <si>
    <t>Proposed</t>
  </si>
  <si>
    <t>Total - Page 7b</t>
  </si>
  <si>
    <t>Total - Page7c</t>
  </si>
  <si>
    <t>Total - Page7d</t>
  </si>
  <si>
    <t>Total - Page7e</t>
  </si>
  <si>
    <t>Total  - Page 7f</t>
  </si>
  <si>
    <t>Total - Page7b</t>
  </si>
  <si>
    <t>Total - Page 7c</t>
  </si>
  <si>
    <t>Page 7f</t>
  </si>
  <si>
    <t>When the page numbers are changed on the fund pages, the Certificate page will also be changed.</t>
  </si>
  <si>
    <t>County Clerk's Use Only</t>
  </si>
  <si>
    <t>November 1st Valuation</t>
  </si>
  <si>
    <t>Address:</t>
  </si>
  <si>
    <t>County1 Spreadsheet Instructions</t>
  </si>
  <si>
    <t xml:space="preserve">Counties can use the county.xls or county1.xls files.   You must choose a form that meets the needs for the number of funds.  If you don't need all the funds, just leave the pages blank and number the completed pages sequentially. </t>
  </si>
  <si>
    <t>budget, except with regard to revenue produced and attributable to the 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</si>
  <si>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budget.</t>
  </si>
  <si>
    <t>Input sheet for County1 budget form</t>
  </si>
  <si>
    <t>Enter County Name followed by 'County'</t>
  </si>
  <si>
    <t>Enter year being budgeted (YYYY)</t>
  </si>
  <si>
    <t>Information comes from the Certificate, Page No. 1</t>
  </si>
  <si>
    <t>Fund Names for all funds with a tax levy:</t>
  </si>
  <si>
    <t>10-113</t>
  </si>
  <si>
    <t>In Lieu of Tax (IRB)</t>
  </si>
  <si>
    <t xml:space="preserve"> Commissioners will be published in the _________ (newspaper).   Interested persons can also address questions concerning the budget to __________ (office) _______ by calling ___________ between the hours of ________ a.m. to ________ p.m., Monday through Fridays, excluding holidays.  </t>
  </si>
  <si>
    <t>Neighborhood Revitalization</t>
  </si>
  <si>
    <t>LAVTR</t>
  </si>
  <si>
    <t>City and County Revenue Sharing</t>
  </si>
  <si>
    <t>Computation of Delinquency</t>
  </si>
  <si>
    <r>
      <t>**</t>
    </r>
    <r>
      <rPr>
        <u/>
        <sz val="12"/>
        <rFont val="Times New Roman"/>
        <family val="1"/>
      </rPr>
      <t>Note</t>
    </r>
    <r>
      <rPr>
        <sz val="12"/>
        <rFont val="Times New Roman"/>
        <family val="1"/>
      </rPr>
      <t>: The delinquency rate can be up to 5% more than the actual delinquency rate from the preivous year.</t>
    </r>
  </si>
  <si>
    <t>From:</t>
  </si>
  <si>
    <t xml:space="preserve">  To:</t>
  </si>
  <si>
    <t>Amount for</t>
  </si>
  <si>
    <t>Transfers</t>
  </si>
  <si>
    <t>Authorized by</t>
  </si>
  <si>
    <t>Adjusted Totals</t>
  </si>
  <si>
    <t>Beginning Amount</t>
  </si>
  <si>
    <t xml:space="preserve">of </t>
  </si>
  <si>
    <t>Retirement</t>
  </si>
  <si>
    <t xml:space="preserve">Total Other </t>
  </si>
  <si>
    <t>The following were changed to this spreadsheet on 2/23/09</t>
  </si>
  <si>
    <t>1. Instruction under Submitting Budgets added 79-2926 requires electronic filing of the budget.</t>
  </si>
  <si>
    <t>2. Input other tab line 27 changed from Budget Summary to Budget Certificate.</t>
  </si>
  <si>
    <t xml:space="preserve">K.S.A. 79-2926 requires budgets be submitted by electronic means. </t>
  </si>
  <si>
    <r>
      <rPr>
        <sz val="12"/>
        <color indexed="10"/>
        <rFont val="Times New Roman"/>
        <family val="1"/>
      </rPr>
      <t>*</t>
    </r>
    <r>
      <rPr>
        <sz val="12"/>
        <rFont val="Times New Roman"/>
        <family val="1"/>
      </rPr>
      <t>Expenditures</t>
    </r>
    <r>
      <rPr>
        <sz val="12"/>
        <color indexed="10"/>
        <rFont val="Times New Roman"/>
        <family val="1"/>
      </rPr>
      <t>*</t>
    </r>
  </si>
  <si>
    <r>
      <rPr>
        <b/>
        <sz val="12"/>
        <color indexed="10"/>
        <rFont val="Times New Roman"/>
        <family val="1"/>
      </rPr>
      <t>*</t>
    </r>
    <r>
      <rPr>
        <b/>
        <sz val="12"/>
        <rFont val="Times New Roman"/>
        <family val="1"/>
      </rPr>
      <t>If amended, then use the amended figures.</t>
    </r>
    <r>
      <rPr>
        <b/>
        <sz val="12"/>
        <color indexed="10"/>
        <rFont val="Times New Roman"/>
        <family val="1"/>
      </rPr>
      <t>*</t>
    </r>
  </si>
  <si>
    <t>Transfers - Counties</t>
  </si>
  <si>
    <t>The following were changed to this spreadsheet on 9/23/09</t>
  </si>
  <si>
    <t>1. InputPrYr tab added C13 'If amended….'</t>
  </si>
  <si>
    <t>2.No levypage21 tab add conditional statement to cells c29, c30, and d29</t>
  </si>
  <si>
    <t>3. Added tab 'TransfersStatutes'</t>
  </si>
  <si>
    <t>4. Changed foot note to reflect the changes made on 7/1/08 to the above tabs.</t>
  </si>
  <si>
    <t>1. instruction were changed: POC change from Roger to armunis, got rid about us providing disk, took the input page and split to input prior budget information and input other, with more in-depth of forms and fund page, and more in-depth on the budget summary page.</t>
  </si>
  <si>
    <t xml:space="preserve">4.  All dates on the spreadsheet are controlled from input on the input Prior Year page. </t>
  </si>
  <si>
    <t>12. Changed the Certificate page so the county name flows instead of having unneeded spaces.</t>
  </si>
  <si>
    <t>14. Delinquency rate for actual for 3 decimal and note that rate can be up to 5% over the actual rate.</t>
  </si>
  <si>
    <t>15. Computation to Determine Limit changed the note on bottom to include publish ordinance and attach the published ordinance to the budget.</t>
  </si>
  <si>
    <t>19. Budget Summary changed the sentence "will meet…" so the year automatically changes.</t>
  </si>
  <si>
    <t>26. Added warning "Exceeds 5%" on all fund pages for the non-appropriated balance.</t>
  </si>
  <si>
    <t>28. Added Neighborhood Revitalization expenditure block to each tax levy fund pages.</t>
  </si>
  <si>
    <t>Non-Budgeted Funds - Counties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</si>
  <si>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</si>
  <si>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</si>
  <si>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</si>
  <si>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</si>
  <si>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sz val="12"/>
        <color indexed="8"/>
        <rFont val="Times New Roman"/>
        <family val="1"/>
      </rPr>
      <t xml:space="preserve">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</si>
  <si>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 xml:space="preserve">12-2615.  Risk management reserve fund. </t>
    </r>
    <r>
      <rPr>
        <sz val="12"/>
        <color indexed="8"/>
        <rFont val="Times New Roman"/>
        <family val="1"/>
      </rPr>
      <t xml:space="preserve"> The governing body of any city or county may pay costs relating to any uninsured loss from a risk management reserve fund.</t>
    </r>
  </si>
  <si>
    <r>
      <t xml:space="preserve">K.S.A. </t>
    </r>
    <r>
      <rPr>
        <b/>
        <sz val="12"/>
        <color indexed="8"/>
        <rFont val="Times New Roman"/>
        <family val="1"/>
      </rPr>
      <t>19-119.</t>
    </r>
    <r>
      <rPr>
        <sz val="12"/>
        <color indexed="8"/>
        <rFont val="Times New Roman"/>
        <family val="1"/>
      </rPr>
      <t xml:space="preserve">  </t>
    </r>
    <r>
      <rPr>
        <b/>
        <sz val="12"/>
        <color indexed="8"/>
        <rFont val="Times New Roman"/>
        <family val="1"/>
      </rPr>
      <t xml:space="preserve">County equipment reserve fund. </t>
    </r>
    <r>
      <rPr>
        <sz val="12"/>
        <color indexed="8"/>
        <rFont val="Times New Roman"/>
        <family val="1"/>
      </rPr>
      <t xml:space="preserve"> Provides for the creation of a county equipment reserve fund to finance the acquisition of equipment.</t>
    </r>
  </si>
  <si>
    <r>
      <t xml:space="preserve">K.S.A. </t>
    </r>
    <r>
      <rPr>
        <b/>
        <sz val="12"/>
        <color indexed="8"/>
        <rFont val="Times New Roman"/>
        <family val="1"/>
      </rPr>
      <t>19-120.</t>
    </r>
    <r>
      <rPr>
        <sz val="12"/>
        <color indexed="8"/>
        <rFont val="Times New Roman"/>
        <family val="1"/>
      </rPr>
      <t xml:space="preserve">  </t>
    </r>
    <r>
      <rPr>
        <b/>
        <sz val="12"/>
        <color indexed="8"/>
        <rFont val="Times New Roman"/>
        <family val="1"/>
      </rPr>
      <t>Multi-year capital improvement fund.</t>
    </r>
    <r>
      <rPr>
        <sz val="12"/>
        <color indexed="8"/>
        <rFont val="Times New Roman"/>
        <family val="1"/>
      </rPr>
      <t xml:space="preserve">  (a)  The commissioners of any county with a multi-year capital improvement plan may establish a capital improvements fund.</t>
    </r>
  </si>
  <si>
    <r>
      <t xml:space="preserve">K.S.A. </t>
    </r>
    <r>
      <rPr>
        <b/>
        <sz val="12"/>
        <color indexed="8"/>
        <rFont val="Times New Roman"/>
        <family val="1"/>
      </rPr>
      <t>19-15,136.</t>
    </r>
    <r>
      <rPr>
        <sz val="12"/>
        <color indexed="8"/>
        <rFont val="Times New Roman"/>
        <family val="1"/>
      </rPr>
      <t xml:space="preserve">  </t>
    </r>
    <r>
      <rPr>
        <b/>
        <sz val="12"/>
        <color indexed="8"/>
        <rFont val="Times New Roman"/>
        <family val="1"/>
      </rPr>
      <t>Special building fund.</t>
    </r>
    <r>
      <rPr>
        <sz val="12"/>
        <color indexed="8"/>
        <rFont val="Times New Roman"/>
        <family val="1"/>
      </rPr>
      <t xml:space="preserve">  County commissioners may create a special building fund to act as the repository of proceeds from the sale of county home or farm property</t>
    </r>
  </si>
  <si>
    <r>
      <t xml:space="preserve">K.S.A. </t>
    </r>
    <r>
      <rPr>
        <b/>
        <sz val="12"/>
        <color indexed="8"/>
        <rFont val="Times New Roman"/>
        <family val="1"/>
      </rPr>
      <t>19-2120.</t>
    </r>
    <r>
      <rPr>
        <sz val="12"/>
        <color indexed="8"/>
        <rFont val="Times New Roman"/>
        <family val="1"/>
      </rPr>
      <t xml:space="preserve">  </t>
    </r>
    <r>
      <rPr>
        <b/>
        <sz val="12"/>
        <color indexed="8"/>
        <rFont val="Times New Roman"/>
        <family val="1"/>
      </rPr>
      <t>County home improvement fund in certain counties.</t>
    </r>
    <r>
      <rPr>
        <sz val="12"/>
        <color indexed="8"/>
        <rFont val="Times New Roman"/>
        <family val="1"/>
      </rPr>
      <t xml:space="preserve">  County commissioners in counties having a population of less than 3,000, or any county having a population of more than 5,400 and not more than 6,000 and an assessed tangible valuation of not less than $25,000,000 and not more than $35,000,000, owning a county home for the aged, shall place proceeds from its renting, leasing or letting into a county home improvement fund.</t>
    </r>
  </si>
  <si>
    <r>
      <t xml:space="preserve">[per </t>
    </r>
    <r>
      <rPr>
        <b/>
        <sz val="12"/>
        <rFont val="Times New Roman"/>
        <family val="1"/>
      </rPr>
      <t xml:space="preserve">K.S.A. </t>
    </r>
    <r>
      <rPr>
        <b/>
        <sz val="11"/>
        <color indexed="8"/>
        <rFont val="Arial"/>
        <family val="2"/>
      </rPr>
      <t>19-2121,</t>
    </r>
    <r>
      <rPr>
        <sz val="11"/>
        <color indexed="8"/>
        <rFont val="Arial"/>
        <family val="2"/>
      </rPr>
      <t xml:space="preserve"> such county home improvement fund shall not be subject to the provisions of K.S.A. 79-2925 to 79-2941 . . . .]</t>
    </r>
  </si>
  <si>
    <r>
      <t xml:space="preserve">K.S.A. </t>
    </r>
    <r>
      <rPr>
        <b/>
        <sz val="12"/>
        <color indexed="8"/>
        <rFont val="Times New Roman"/>
        <family val="1"/>
      </rPr>
      <t>44-505b.</t>
    </r>
    <r>
      <rPr>
        <sz val="12"/>
        <color indexed="8"/>
        <rFont val="Times New Roman"/>
        <family val="1"/>
      </rPr>
      <t xml:space="preserve">  </t>
    </r>
    <r>
      <rPr>
        <b/>
        <sz val="12"/>
        <color indexed="8"/>
        <rFont val="Times New Roman"/>
        <family val="1"/>
      </rPr>
      <t>Workers’ compensation reserve fund.</t>
    </r>
    <r>
      <rPr>
        <sz val="12"/>
        <color indexed="8"/>
        <rFont val="Times New Roman"/>
        <family val="1"/>
      </rPr>
      <t xml:space="preserve">  Provides for the creation of a reserve fund for the payment of workmen's compensation claims, judgments, and expenses.</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</si>
  <si>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</si>
  <si>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68-559a.</t>
    </r>
    <r>
      <rPr>
        <sz val="12"/>
        <color indexed="8"/>
        <rFont val="Times New Roman"/>
        <family val="1"/>
      </rPr>
      <t xml:space="preserve">   </t>
    </r>
    <r>
      <rPr>
        <b/>
        <sz val="12"/>
        <color indexed="8"/>
        <rFont val="Times New Roman"/>
        <family val="1"/>
      </rPr>
      <t>Special road and bridge fund.</t>
    </r>
    <r>
      <rPr>
        <sz val="12"/>
        <color indexed="8"/>
        <rFont val="Times New Roman"/>
        <family val="1"/>
      </rPr>
      <t xml:space="preserve">  Authorizes the creation of a special road and bridge fund and for funding of such through levy of an annual property tax of not to exceed two mills.</t>
    </r>
  </si>
  <si>
    <r>
      <t xml:space="preserve">K.S.A. </t>
    </r>
    <r>
      <rPr>
        <b/>
        <sz val="12"/>
        <color indexed="8"/>
        <rFont val="Times New Roman"/>
        <family val="1"/>
      </rPr>
      <t>68-590.</t>
    </r>
    <r>
      <rPr>
        <sz val="12"/>
        <color indexed="8"/>
        <rFont val="Times New Roman"/>
        <family val="1"/>
      </rPr>
      <t xml:space="preserve">   </t>
    </r>
    <r>
      <rPr>
        <b/>
        <sz val="12"/>
        <color indexed="8"/>
        <rFont val="Times New Roman"/>
        <family val="1"/>
      </rPr>
      <t>Special highway improvement fund.</t>
    </r>
    <r>
      <rPr>
        <sz val="12"/>
        <color indexed="8"/>
        <rFont val="Times New Roman"/>
        <family val="1"/>
      </rPr>
      <t xml:space="preserve">  Cities and counties may create a special highway improvement fund and transfer to it annually up to 25% of the fund for roads, bridges, highways, or streets.</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</si>
  <si>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</si>
  <si>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79-1482.</t>
    </r>
    <r>
      <rPr>
        <sz val="12"/>
        <color indexed="8"/>
        <rFont val="Times New Roman"/>
        <family val="1"/>
      </rPr>
      <t xml:space="preserve">  </t>
    </r>
    <r>
      <rPr>
        <b/>
        <sz val="12"/>
        <color indexed="8"/>
        <rFont val="Times New Roman"/>
        <family val="1"/>
      </rPr>
      <t>Special countywide reappraisal fund.</t>
    </r>
    <r>
      <rPr>
        <sz val="12"/>
        <color indexed="8"/>
        <rFont val="Times New Roman"/>
        <family val="1"/>
      </rPr>
      <t xml:space="preserve">  Counties may levy taxes and place the proceeds in a special countywide reappraisal fund to be used to pay costs associated with countywide reappraisal.</t>
    </r>
  </si>
  <si>
    <r>
      <t xml:space="preserve">K.S.A. </t>
    </r>
    <r>
      <rPr>
        <b/>
        <sz val="12"/>
        <color indexed="8"/>
        <rFont val="Times New Roman"/>
        <family val="1"/>
      </rPr>
      <t>79-1608.</t>
    </r>
    <r>
      <rPr>
        <sz val="12"/>
        <color indexed="8"/>
        <rFont val="Times New Roman"/>
        <family val="1"/>
      </rPr>
      <t xml:space="preserve">  </t>
    </r>
    <r>
      <rPr>
        <b/>
        <sz val="12"/>
        <color indexed="8"/>
        <rFont val="Times New Roman"/>
        <family val="1"/>
      </rPr>
      <t>Special appraisal fund.</t>
    </r>
    <r>
      <rPr>
        <sz val="12"/>
        <color indexed="8"/>
        <rFont val="Times New Roman"/>
        <family val="1"/>
      </rPr>
      <t xml:space="preserve">  Counties may create a special appraisal fund to be used for the purpose of assuring that all property in the county is classified and appraised according to law and for employment of or contracting for appraisal assistance, hearing officers or panels and arbitrators.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</si>
  <si>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</si>
  <si>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Counties may create non-budgeted funds for any gifts or bequests, and, for the operation of a county coliseum.</t>
    </r>
  </si>
  <si>
    <t>5. Added tab 'NonBudFunds'</t>
  </si>
  <si>
    <t>4. Added tabs A to E for possible violation</t>
  </si>
  <si>
    <t>6. Instructions tab changed cells 9g - j for changes for possible violations on fund pages</t>
  </si>
  <si>
    <t xml:space="preserve">8.  Instructions tab added line 6b to inform about TransferStatutes tab
</t>
  </si>
  <si>
    <t>7. Deleted on all fund pages the 'Yes' and 'No' and replace with see tab for possible violations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</si>
  <si>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</si>
  <si>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</si>
  <si>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K.S.A. 12-196</t>
    </r>
    <r>
      <rPr>
        <sz val="12"/>
        <rFont val="Times New Roman"/>
        <family val="1"/>
      </rPr>
      <t xml:space="preserve">. </t>
    </r>
    <r>
      <rPr>
        <sz val="12"/>
        <color indexed="8"/>
        <rFont val="Times New Roman"/>
        <family val="1"/>
      </rPr>
      <t xml:space="preserve"> </t>
    </r>
    <r>
      <rPr>
        <b/>
        <sz val="12"/>
        <color indexed="8"/>
        <rFont val="Times New Roman"/>
        <family val="1"/>
      </rPr>
      <t>Transfer of sales tax proceeds.</t>
    </r>
    <r>
      <rPr>
        <sz val="12"/>
        <color indexed="8"/>
        <rFont val="Times New Roman"/>
        <family val="1"/>
      </rPr>
      <t xml:space="preserve">  The board of county commissioners may transfer any portion of the revenue received pursuant to K.S.A. 12-192 [countywide retailers sales tax] from the county general fund to the county road and bridge fund.</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</si>
  <si>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</si>
  <si>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</si>
  <si>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</si>
  <si>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12-2615</t>
    </r>
    <r>
      <rPr>
        <sz val="12"/>
        <color indexed="8"/>
        <rFont val="Times New Roman"/>
        <family val="1"/>
      </rPr>
      <t xml:space="preserve">.  </t>
    </r>
    <r>
      <rPr>
        <b/>
        <sz val="12"/>
        <color indexed="8"/>
        <rFont val="Times New Roman"/>
        <family val="1"/>
      </rPr>
      <t>Transfer to risk management reserve fund.</t>
    </r>
    <r>
      <rPr>
        <sz val="12"/>
        <color indexed="8"/>
        <rFont val="Times New Roman"/>
        <family val="1"/>
      </rPr>
      <t xml:space="preserve">  To cover costs relating to any uninsured loss moneys may be paid into a risk management reserve fund or special reserve fund from any source which may be utilized for such purposes, including transfers from the general fund, in reasonable proportion to the estimated cost of self insuring the risk losses covered by such funds. </t>
    </r>
  </si>
  <si>
    <r>
      <t>K.S.A. 19-119</t>
    </r>
    <r>
      <rPr>
        <sz val="12"/>
        <rFont val="Times New Roman"/>
        <family val="1"/>
      </rPr>
      <t>.</t>
    </r>
    <r>
      <rPr>
        <b/>
        <sz val="12"/>
        <rFont val="Times New Roman"/>
        <family val="1"/>
      </rPr>
      <t xml:space="preserve">  Transfer to equipment reserve fund.</t>
    </r>
    <r>
      <rPr>
        <sz val="12"/>
        <rFont val="Times New Roman"/>
        <family val="1"/>
      </rPr>
      <t xml:space="preserve">  </t>
    </r>
    <r>
      <rPr>
        <sz val="12"/>
        <color indexed="8"/>
        <rFont val="Times New Roman"/>
        <family val="1"/>
      </rPr>
      <t>Moneys may be budgeted and transferred to an equipment reserve fund from any source which may be lawfully utilized for such purposes.</t>
    </r>
  </si>
  <si>
    <r>
      <t>K.S.A. 19-120</t>
    </r>
    <r>
      <rPr>
        <sz val="12"/>
        <color indexed="8"/>
        <rFont val="Times New Roman"/>
        <family val="1"/>
      </rPr>
      <t>.</t>
    </r>
    <r>
      <rPr>
        <b/>
        <sz val="12"/>
        <color indexed="8"/>
        <rFont val="Times New Roman"/>
        <family val="1"/>
      </rPr>
      <t xml:space="preserve">  Transfer to capital improvements fund.</t>
    </r>
    <r>
      <rPr>
        <sz val="12"/>
        <color indexed="8"/>
        <rFont val="Times New Roman"/>
        <family val="1"/>
      </rPr>
      <t xml:space="preserve">  Authorizes the budgeted transfer of moneys from other funds lawfully available for improvement purposes to the capital improvements fund, including moneys in the general fund.</t>
    </r>
  </si>
  <si>
    <r>
      <t xml:space="preserve">K.S.A. </t>
    </r>
    <r>
      <rPr>
        <b/>
        <sz val="12"/>
        <color indexed="8"/>
        <rFont val="Times New Roman"/>
        <family val="1"/>
      </rPr>
      <t>44-505b</t>
    </r>
    <r>
      <rPr>
        <sz val="12"/>
        <color indexed="8"/>
        <rFont val="Times New Roman"/>
        <family val="1"/>
      </rPr>
      <t xml:space="preserve">.  </t>
    </r>
    <r>
      <rPr>
        <b/>
        <sz val="12"/>
        <color indexed="8"/>
        <rFont val="Times New Roman"/>
        <family val="1"/>
      </rPr>
      <t>Transfer to worker’s compensation reserve fund.</t>
    </r>
    <r>
      <rPr>
        <sz val="12"/>
        <color indexed="8"/>
        <rFont val="Times New Roman"/>
        <family val="1"/>
      </rPr>
      <t xml:space="preserve">  Where a county chooses to act as a self-insurer under the worker’s compensation act it is authorized it is authorized to make transfers to a worker’s compensation reserve fund at any time by transfer of money from the road and bridge fund of said county in such amount as the board deems necessary.</t>
    </r>
  </si>
  <si>
    <r>
      <t>K.S.A. 68-141g</t>
    </r>
    <r>
      <rPr>
        <sz val="12"/>
        <color indexed="8"/>
        <rFont val="Times New Roman"/>
        <family val="1"/>
      </rPr>
      <t xml:space="preserve">.  </t>
    </r>
    <r>
      <rPr>
        <b/>
        <sz val="12"/>
        <color indexed="8"/>
        <rFont val="Times New Roman"/>
        <family val="1"/>
      </rPr>
      <t>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</si>
  <si>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K.S.A. 68-590.</t>
    </r>
    <r>
      <rPr>
        <sz val="12"/>
        <rFont val="Times New Roman"/>
        <family val="1"/>
      </rPr>
      <t xml:space="preserve"> </t>
    </r>
    <r>
      <rPr>
        <sz val="12"/>
        <color indexed="8"/>
        <rFont val="Times New Roman"/>
        <family val="1"/>
      </rPr>
      <t xml:space="preserve"> </t>
    </r>
    <r>
      <rPr>
        <b/>
        <sz val="12"/>
        <color indexed="8"/>
        <rFont val="Times New Roman"/>
        <family val="1"/>
      </rPr>
      <t>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</si>
  <si>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</si>
  <si>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t>9. NonBud tab changed Net valuation to July 1</t>
  </si>
  <si>
    <t>Valuation Factor:</t>
  </si>
  <si>
    <t>Neighborhood Revitalization Subj to Rebate:</t>
  </si>
  <si>
    <t>Neighborhood Revitalization factor:</t>
  </si>
  <si>
    <t>10. Certificate tab moved the Assisted By: and added more lines for governing body signatures</t>
  </si>
  <si>
    <t>This tab will put the date and time and location of the budget hearing on the Budget Summary page.  Also, provide the location where as the budget can be reveiwed.  Please input information in the green areas.</t>
  </si>
  <si>
    <t>Date:</t>
  </si>
  <si>
    <t>Time:</t>
  </si>
  <si>
    <t>Location:</t>
  </si>
  <si>
    <t>Shawnee County Clerk's Office</t>
  </si>
  <si>
    <t>Available at:</t>
  </si>
  <si>
    <t>Examples</t>
  </si>
  <si>
    <t>August 12, 2010</t>
  </si>
  <si>
    <t>7:00 PM or 7:00 AM</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</si>
  <si>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</si>
  <si>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</si>
  <si>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</si>
  <si>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</si>
  <si>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</si>
  <si>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</si>
  <si>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</si>
  <si>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</si>
  <si>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</si>
  <si>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</si>
  <si>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</si>
  <si>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</si>
  <si>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</si>
  <si>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</si>
  <si>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</si>
  <si>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</si>
  <si>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</si>
  <si>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</si>
  <si>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</si>
  <si>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</si>
  <si>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</si>
  <si>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</si>
  <si>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</si>
  <si>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</si>
  <si>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</si>
  <si>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 &amp; bridge</t>
  </si>
  <si>
    <t xml:space="preserve">and noxious weed funds may split contractual services between the two </t>
  </si>
  <si>
    <t xml:space="preserve">funds.  If one of those funds is in trouble, you might be able to </t>
  </si>
  <si>
    <t xml:space="preserve">allocate a little more in contractual services to the healthy fund in </t>
  </si>
  <si>
    <t>order to 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</si>
  <si>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</si>
  <si>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</si>
  <si>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</si>
  <si>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</si>
  <si>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</si>
  <si>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</si>
  <si>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</si>
  <si>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</si>
  <si>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</si>
  <si>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</si>
  <si>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</si>
  <si>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</si>
  <si>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</si>
  <si>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</si>
  <si>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</si>
  <si>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</si>
  <si>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</si>
  <si>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</si>
  <si>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</si>
  <si>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</si>
  <si>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</si>
  <si>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</si>
  <si>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</si>
  <si>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</si>
  <si>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</si>
  <si>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</si>
  <si>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</si>
  <si>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</si>
  <si>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</si>
  <si>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</si>
  <si>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</si>
  <si>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</si>
  <si>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</si>
  <si>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</si>
  <si>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</si>
  <si>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</si>
  <si>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</si>
  <si>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</si>
  <si>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</si>
  <si>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</si>
  <si>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</si>
  <si>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</si>
  <si>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</si>
  <si>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</si>
  <si>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</si>
  <si>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</si>
  <si>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</si>
  <si>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</si>
  <si>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</si>
  <si>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</si>
  <si>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</si>
  <si>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</si>
  <si>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</si>
  <si>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</si>
  <si>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</si>
  <si>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</si>
  <si>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</si>
  <si>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</si>
  <si>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</si>
  <si>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</si>
  <si>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</si>
  <si>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</si>
  <si>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</si>
  <si>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</si>
  <si>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</si>
  <si>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</si>
  <si>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</si>
  <si>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</si>
  <si>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</si>
  <si>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</si>
  <si>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</si>
  <si>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</si>
  <si>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</si>
  <si>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</si>
  <si>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</si>
  <si>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</si>
  <si>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</si>
  <si>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</si>
  <si>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</si>
  <si>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</si>
  <si>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</si>
  <si>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</si>
  <si>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</si>
  <si>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</si>
  <si>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</si>
  <si>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</si>
  <si>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</si>
  <si>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</si>
  <si>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</si>
  <si>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</si>
  <si>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</si>
  <si>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</si>
  <si>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</si>
  <si>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</si>
  <si>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</si>
  <si>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</si>
  <si>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</si>
  <si>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</si>
  <si>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</si>
  <si>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</si>
  <si>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</si>
  <si>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</si>
  <si>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</si>
  <si>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</si>
  <si>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</si>
  <si>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</si>
  <si>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</si>
  <si>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 xml:space="preserve">funds.  If one of those funds is in trouble you might be able to </t>
  </si>
  <si>
    <t>order to 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</si>
  <si>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</si>
  <si>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</si>
  <si>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</si>
  <si>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</si>
  <si>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</si>
  <si>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</si>
  <si>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</si>
  <si>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</si>
  <si>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</si>
  <si>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</si>
  <si>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</si>
  <si>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</si>
  <si>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</si>
  <si>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</si>
  <si>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</si>
  <si>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</si>
  <si>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</si>
  <si>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</si>
  <si>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</si>
  <si>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</si>
  <si>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</si>
  <si>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</si>
  <si>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</si>
  <si>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</si>
  <si>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</si>
  <si>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</si>
  <si>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</si>
  <si>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</si>
  <si>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</si>
  <si>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</si>
  <si>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</si>
  <si>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</si>
  <si>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</si>
  <si>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</si>
  <si>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</si>
  <si>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</si>
  <si>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</si>
  <si>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</si>
  <si>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</si>
  <si>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</si>
  <si>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</si>
  <si>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</si>
  <si>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</si>
  <si>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</si>
  <si>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</si>
  <si>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</si>
  <si>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</si>
  <si>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</si>
  <si>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</si>
  <si>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</si>
  <si>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</si>
  <si>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</si>
  <si>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</si>
  <si>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</si>
  <si>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</si>
  <si>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</si>
  <si>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</si>
  <si>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</si>
  <si>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</si>
  <si>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</si>
  <si>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</si>
  <si>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</si>
  <si>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</si>
  <si>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</si>
  <si>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</si>
  <si>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</si>
  <si>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</si>
  <si>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</si>
  <si>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</si>
  <si>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</si>
  <si>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</si>
  <si>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</si>
  <si>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</si>
  <si>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 xml:space="preserve">Submitting the Budget </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</si>
  <si>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</si>
  <si>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</si>
  <si>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</si>
  <si>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4a. The Certificate page has a statement 'Is a Resolution required?' which will either show 'Yes' or 'No'. This statement compares the Certificate total Ad Valorem Tax to Computation to Determine Limit line 14. If a 'Yes' appears then a resolution is required to be completed and attached to the budget. No action is required if a 'No' appears.</t>
  </si>
  <si>
    <t xml:space="preserve">4b.  If someone other than a municipal employee assists in preparing the budget, please enter the person's or firm's name and address in the area provided. </t>
  </si>
  <si>
    <t>4c. The Certificate(2) (cert2) and Budget Summary (summ2) are used when the County Clerk has special districts that are to be submitted along with the County's budget.</t>
  </si>
  <si>
    <t>5. The information for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</si>
  <si>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Note: 2007 Supplement for K.S.A. 79-2925b provides debt service to include repayment of the principle and interest upon bonded indebtedness, temporary notes, and no-fund warrants. If the county wants to include debts for temporary notes and no-fund warrants (shown on a separate fund page and not included with debt service fund page) the Computation to Determine Limit Page lines 2 and 14 will have to be changed to include these debts in the max levy computation. In order to do this, the protection must be taken off of the page and the amounts changed. You are not required to add the additional debts into the computation of the max levy amount.</t>
  </si>
  <si>
    <r>
      <t xml:space="preserve">5b. Print the Resolution page (resolution) if the max levy is exceeded.  Complete the printed resolution and ensure to attached it the budget. </t>
    </r>
    <r>
      <rPr>
        <b/>
        <sz val="12"/>
        <rFont val="Times New Roman"/>
        <family val="1"/>
      </rPr>
      <t>Ensure to number the page</t>
    </r>
    <r>
      <rPr>
        <sz val="12"/>
        <rFont val="Times New Roman"/>
        <family val="1"/>
      </rPr>
      <t>.</t>
    </r>
  </si>
  <si>
    <t>7. The Schedule of Transfers (transfers) is completed from the individual completed fund pages. Be sure to provide the statute that authorizes the transfer. If 'Home Rule' is applied, then provide the chartered ordinance number in place of the statute. Before submitting the budget, suggest printing off the Schedule of Transfers page and tracing entries to each fund page.</t>
  </si>
  <si>
    <r>
      <t xml:space="preserve">8.  Statement of Indebtedness (debt) must show all the debt owed or proposed to be issued.  The general obligation and revenue bond totals for budget year is linked on the Budget Summary. </t>
    </r>
    <r>
      <rPr>
        <b/>
        <sz val="12"/>
        <rFont val="Times New Roman"/>
        <family val="1"/>
      </rPr>
      <t>If the county does not have any debt, then on the first line enter 'none'.</t>
    </r>
  </si>
  <si>
    <r>
      <t xml:space="preserve">9.  Statement of Conditional Lease, Lease-Purchases and Certificate of Participation (lpform) must be completed for all transactions which at the end of the lease period the lease is owned by the county.  Principal Balance Due for the actual year is linked on the Budget Summary page. </t>
    </r>
    <r>
      <rPr>
        <b/>
        <sz val="12"/>
        <rFont val="Times New Roman"/>
        <family val="1"/>
      </rPr>
      <t>If the county does not have any leases, then on the first line enter 'none'.</t>
    </r>
  </si>
  <si>
    <t>10.  The spreadsheet has individual fund sheets for General Fund (general), Debt Service (DebtService), Road &amp; Bridge, 22 levy pages (levy page10 and levy page20), 10 no levy fund pages (nolevypage21 to nolevypage28), and 4 non-budgeted tab which allows for 20 non-budgeted funds.  Only complete the fund pages needed.  When the fund pages are completed, the totals will be linked to the Certificate and Budget Summary pages.</t>
  </si>
  <si>
    <r>
      <t xml:space="preserve">11. Neighborhood Revitalization (nhood) should be completed </t>
    </r>
    <r>
      <rPr>
        <b/>
        <u/>
        <sz val="12"/>
        <rFont val="Times New Roman"/>
        <family val="1"/>
      </rPr>
      <t>only after</t>
    </r>
    <r>
      <rPr>
        <sz val="12"/>
        <rFont val="Times New Roman"/>
        <family val="1"/>
      </rPr>
      <t xml:space="preserve">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r>
    <r>
      <rPr>
        <b/>
        <sz val="12"/>
        <rFont val="Times New Roman"/>
        <family val="1"/>
      </rPr>
      <t>Note: If you do not have Neighborhood Revitalization, this step is not done</t>
    </r>
    <r>
      <rPr>
        <sz val="12"/>
        <rFont val="Times New Roman"/>
        <family val="1"/>
      </rPr>
      <t>.</t>
    </r>
  </si>
  <si>
    <r>
      <t xml:space="preserve">11a. </t>
    </r>
    <r>
      <rPr>
        <b/>
        <u/>
        <sz val="12"/>
        <rFont val="Times New Roman"/>
        <family val="1"/>
      </rPr>
      <t>Warning</t>
    </r>
    <r>
      <rPr>
        <sz val="12"/>
        <rFont val="Times New Roman"/>
        <family val="1"/>
      </rPr>
      <t xml:space="preserve">,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 Suggest printing the table before deleting ad valorem rates, this way you will know approximately the amount of the rebates and lost revenue because of the rebates. </t>
    </r>
  </si>
  <si>
    <r>
      <t xml:space="preserve">11b. </t>
    </r>
    <r>
      <rPr>
        <b/>
        <u/>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</si>
  <si>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11c. </t>
    </r>
    <r>
      <rPr>
        <b/>
        <sz val="12"/>
        <rFont val="Times New Roman"/>
        <family val="1"/>
      </rPr>
      <t>Note: If you do not have Neighborhood Revitalization, these steps are not done.</t>
    </r>
  </si>
  <si>
    <t xml:space="preserve">12.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</si>
  <si>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 xml:space="preserve">13.  Before submission of the budget, please review the entire document and verify that all amounts are correct.  In addition, the Certificate Page needs to be signed by at least one member of the governing body (signatures of the entire governing body is preferred, but not mandatory). </t>
  </si>
  <si>
    <t>answering objections of taxpayers relating to the proposed use of all funds and the amount of ad valorem tax.</t>
  </si>
  <si>
    <t>the Neighborhood Revitalization Rebate table.</t>
  </si>
  <si>
    <t>The following were changed to this spreadsheet on 12/28/09</t>
  </si>
  <si>
    <t>7c.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</si>
  <si>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</si>
  <si>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</si>
  <si>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</si>
  <si>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*Note:</t>
  </si>
  <si>
    <t>Expenditure</t>
  </si>
  <si>
    <t>Receipt</t>
  </si>
  <si>
    <t xml:space="preserve">Fund Transferred </t>
  </si>
  <si>
    <t>Fund Transferred</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</si>
  <si>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</si>
  <si>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</si>
  <si>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</si>
  <si>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</si>
  <si>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</si>
  <si>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in the appropriate locations.  If any of the numbers are wrong, change them on this input sheet.</t>
  </si>
  <si>
    <t xml:space="preserve">Enter the following information from the sources shown.  This information will be  entered on the budget forms </t>
  </si>
  <si>
    <t>The following were changed to this spreadsheet on 6/29/10</t>
  </si>
  <si>
    <t>1. Road tab, changed the delinquency % cell reference from E23 to E24</t>
  </si>
  <si>
    <t>Budget Authority</t>
  </si>
  <si>
    <t>for Expenditures</t>
  </si>
  <si>
    <r>
      <t>K.S.A. 2-1318.  Transfer to noxious weed capital outlay fund.</t>
    </r>
    <r>
      <rPr>
        <sz val="11"/>
        <rFont val="Times New Roman"/>
        <family val="1"/>
      </rPr>
      <t xml:space="preserve">  </t>
    </r>
    <r>
      <rPr>
        <sz val="11"/>
        <color indexed="8"/>
        <rFont val="Times New Roman"/>
        <family val="1"/>
      </rPr>
      <t>Any moneys remaining in the noxious weed eradication fund at the end of any year for which a levy is made may be transferred to the noxious weed capital outlay fund.</t>
    </r>
  </si>
  <si>
    <r>
      <t xml:space="preserve">K.S.A. 8-145.  </t>
    </r>
    <r>
      <rPr>
        <b/>
        <sz val="12"/>
        <color indexed="8"/>
        <rFont val="Times New Roman"/>
        <family val="1"/>
      </rPr>
      <t>Transfer to general fund from special motor vehicle fund.</t>
    </r>
    <r>
      <rPr>
        <sz val="12"/>
        <color indexed="8"/>
        <rFont val="Times New Roman"/>
        <family val="1"/>
      </rPr>
      <t xml:space="preserve">  Any balance remaining in the special motor vehicle fund at the close of any calendar year shall be withdrawn and credited to the general fund of the county prior to June 1 of the following calendar year.</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</si>
  <si>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</si>
  <si>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 xml:space="preserve">K.S.A. </t>
    </r>
    <r>
      <rPr>
        <b/>
        <sz val="11"/>
        <color indexed="8"/>
        <rFont val="Times New Roman"/>
        <family val="1"/>
      </rPr>
      <t>19-2661.</t>
    </r>
    <r>
      <rPr>
        <sz val="11"/>
        <color indexed="8"/>
        <rFont val="Times New Roman"/>
        <family val="1"/>
      </rPr>
      <t xml:space="preserve">  </t>
    </r>
    <r>
      <rPr>
        <b/>
        <sz val="11"/>
        <color indexed="8"/>
        <rFont val="Times New Roman"/>
        <family val="1"/>
      </rPr>
      <t>Transfer to refuse disposal sinking (debt service) fund.</t>
    </r>
    <r>
      <rPr>
        <sz val="11"/>
        <color indexed="8"/>
        <rFont val="Times New Roman"/>
        <family val="1"/>
      </rPr>
      <t xml:space="preserve">  Authorizes the transfer of surplus money from the refuse disposal fund to a refuse disposal debt service fund.</t>
    </r>
  </si>
  <si>
    <t>Compensating Use Tax</t>
  </si>
  <si>
    <t>Local Sales Tax</t>
  </si>
  <si>
    <t>Does miscellaneous exceed 10% of Total Exp</t>
  </si>
  <si>
    <t>Does miscellaneous exceed 10% of Total Rec</t>
  </si>
  <si>
    <t xml:space="preserve">Road &amp; Bridge Fund </t>
  </si>
  <si>
    <t>General Fund - Detail Expenditures</t>
  </si>
  <si>
    <t>Non-Appropriated Balance</t>
  </si>
  <si>
    <t>Total Expenditure/Non-Appr Balance</t>
  </si>
  <si>
    <t>Delinquent Comp Rate:</t>
  </si>
  <si>
    <t>Desired Carryover Amount:</t>
  </si>
  <si>
    <t>Estimated Mill Rate Impact:</t>
  </si>
  <si>
    <t>The estimated value of one mill would be:</t>
  </si>
  <si>
    <t>Change in Ad Valorem Tax Revenue:</t>
  </si>
  <si>
    <t>What Mill Rate Would Be Desired?</t>
  </si>
  <si>
    <t>The following were changed to this spreadsheet on 9/23/10</t>
  </si>
  <si>
    <t>1. All pages removed the revision date</t>
  </si>
  <si>
    <t>2. All tax levy fund pages reduced the columns and revised the bottom of pages for see tabs</t>
  </si>
  <si>
    <t>3. Instruction tab added 10a,b and f, 12 b and c, and 14</t>
  </si>
  <si>
    <t>4. Certificate and Certificate2 tab change the 'Expenditure' heading by adding  'Budget Authority for Expenditures'</t>
  </si>
  <si>
    <t>5. Certificate tab add the year in the block for 'County Clerk Use Only'</t>
  </si>
  <si>
    <t>6. Gen tab added revenue line for 'Compensation Use'</t>
  </si>
  <si>
    <t>7. Gen tab added table for 'Projection of Cash Carryover'</t>
  </si>
  <si>
    <t>8. Gen tab added table for 'Desired Carryover'</t>
  </si>
  <si>
    <t>9. Gen tab redefine print que to not include tables</t>
  </si>
  <si>
    <t>10. Gen tab hid the comp for see tabs</t>
  </si>
  <si>
    <t>11. DebtService tab added table for 'Projected Carryover'</t>
  </si>
  <si>
    <t>12. Road tab added table for 'Projected Carryover'</t>
  </si>
  <si>
    <t>13. DebtService and Road tab redefine print que and hid comp for see tabs</t>
  </si>
  <si>
    <t>14. Levy page10 and page20 tab hid comp for see tabs</t>
  </si>
  <si>
    <t>15. Summ and Summ2 tab changed proposed year expenditure column to 'Budget Authority (Includes Carryover)</t>
  </si>
  <si>
    <t>16. Summ tab added four tables to the right of the form</t>
  </si>
  <si>
    <t>17. Revised TransferStatutes and NonBudFunds tabs</t>
  </si>
  <si>
    <t>18. Added Mill Rate Computation tab</t>
  </si>
  <si>
    <t>19. Add Helpful Links tab</t>
  </si>
  <si>
    <t>20. Inputoth tab changed Actual Delinquency tax from -2 to -3</t>
  </si>
  <si>
    <t>21. Summ2 added year to Estimate Valuation column</t>
  </si>
  <si>
    <t>22. Added page no. to all tabs at the bottom of each page</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</si>
  <si>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</si>
  <si>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</si>
  <si>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</si>
  <si>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</si>
  <si>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</si>
  <si>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</si>
  <si>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</si>
  <si>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</si>
  <si>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</si>
  <si>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</si>
  <si>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</si>
  <si>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</si>
  <si>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</si>
  <si>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</si>
  <si>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</si>
  <si>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</si>
  <si>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</si>
  <si>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</si>
  <si>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</si>
  <si>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</si>
  <si>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</si>
  <si>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</si>
  <si>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</si>
  <si>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</si>
  <si>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</si>
  <si>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</si>
  <si>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</si>
  <si>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</si>
  <si>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</si>
  <si>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</si>
  <si>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</si>
  <si>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</si>
  <si>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</si>
  <si>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</si>
  <si>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</si>
  <si>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</si>
  <si>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</si>
  <si>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</si>
  <si>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</si>
  <si>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</si>
  <si>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</si>
  <si>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</si>
  <si>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</si>
  <si>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</si>
  <si>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</si>
  <si>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</si>
  <si>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</si>
  <si>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</si>
  <si>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</si>
  <si>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</si>
  <si>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</si>
  <si>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</si>
  <si>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</si>
  <si>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First Step:</t>
  </si>
  <si>
    <t>(value of 1 mill)</t>
  </si>
  <si>
    <t>(increased prop. tax)</t>
  </si>
  <si>
    <t>(increase mill rate)</t>
  </si>
  <si>
    <t xml:space="preserve">(value of the home) </t>
  </si>
  <si>
    <t>Second Step:</t>
  </si>
  <si>
    <t>(assessed value)</t>
  </si>
  <si>
    <t xml:space="preserve">(assessed value) </t>
  </si>
  <si>
    <t>(increase tax)</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</si>
  <si>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</si>
  <si>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</si>
  <si>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</si>
  <si>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</si>
  <si>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</si>
  <si>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</si>
  <si>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</si>
  <si>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</si>
  <si>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</si>
  <si>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(value of the home)</t>
  </si>
  <si>
    <t>(residential %)</t>
  </si>
  <si>
    <t>(total mill rate)</t>
  </si>
  <si>
    <t>(impact, total mills)</t>
  </si>
  <si>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</si>
  <si>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28-115a.</t>
    </r>
    <r>
      <rPr>
        <sz val="12"/>
        <color indexed="8"/>
        <rFont val="Times New Roman"/>
        <family val="1"/>
      </rPr>
      <t xml:space="preserve">  </t>
    </r>
    <r>
      <rPr>
        <b/>
        <sz val="12"/>
        <color indexed="8"/>
        <rFont val="Times New Roman"/>
        <family val="1"/>
      </rPr>
      <t>Register of deeds technology fund.</t>
    </r>
    <r>
      <rPr>
        <sz val="12"/>
        <color indexed="8"/>
        <rFont val="Times New Roman"/>
        <family val="1"/>
      </rPr>
      <t xml:space="preserve">  Moneys in the fund (certain additional recording fees collected pursuant to K.S.A. 28-115(b)) shall be used by the register of deeds to acquire equipment and technological services for the storing, recording, archiving, retrieving, maintaining, and handling of data recorded or stored in the office of the register of deeds.</t>
    </r>
  </si>
  <si>
    <r>
      <t xml:space="preserve">K.S.A. </t>
    </r>
    <r>
      <rPr>
        <b/>
        <sz val="12"/>
        <color indexed="8"/>
        <rFont val="Times New Roman"/>
        <family val="1"/>
      </rPr>
      <t>68-1135.</t>
    </r>
    <r>
      <rPr>
        <sz val="12"/>
        <color indexed="8"/>
        <rFont val="Times New Roman"/>
        <family val="1"/>
      </rPr>
      <t xml:space="preserve">  </t>
    </r>
    <r>
      <rPr>
        <b/>
        <sz val="12"/>
        <color indexed="8"/>
        <rFont val="Times New Roman"/>
        <family val="1"/>
      </rPr>
      <t>Special bridge and culvert fund.</t>
    </r>
    <r>
      <rPr>
        <sz val="12"/>
        <color indexed="8"/>
        <rFont val="Times New Roman"/>
        <family val="1"/>
      </rPr>
      <t xml:space="preserve">  Counties are authorized to levy taxes for the purpose of creating and providing a special fund to be used in building and reconstructing bridges and culverts and constructing the approaches thereto or to be used in repaying loans or advances received from the highway fund.</t>
    </r>
  </si>
  <si>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fund pages . </t>
    </r>
    <r>
      <rPr>
        <b/>
        <sz val="12"/>
        <rFont val="Times New Roman"/>
        <family val="1"/>
      </rPr>
      <t/>
    </r>
  </si>
  <si>
    <t xml:space="preserve">2. The information entered into the Input Other (inputOth) worksheet is obtained from the County Clerk, County Treasurer, and the budget from two years ago(the year for actual year column for the current budget).  After the information has been entered, please verify the data is correct. </t>
  </si>
  <si>
    <r>
      <t>14.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</si>
  <si>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14a.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</si>
  <si>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14b.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</si>
  <si>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Third Step:</t>
  </si>
  <si>
    <t>Result:</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</si>
  <si>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</si>
  <si>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</si>
  <si>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</si>
  <si>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</si>
  <si>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</si>
  <si>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</si>
  <si>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</si>
  <si>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The following were changed to this spreadsheet on 4/19/11</t>
  </si>
  <si>
    <t>1. Summ tabs changed proposed year expenditure column to 'Budget Authority for Expenditures'</t>
  </si>
  <si>
    <r>
      <t xml:space="preserve">K.S.A. 65-204.  Transfer to County Health Capital Outlay Fund from County Health Fund.  </t>
    </r>
    <r>
      <rPr>
        <sz val="12"/>
        <rFont val="Times New Roman"/>
        <family val="1"/>
      </rPr>
      <t>Any moneys remaining in the county health fund at the end of any county fiscal year for which a levy is made under this section may be transferred to the county health capital outlay fund, which is hereby created, for the making of capital expenditures incident to county health purposes.</t>
    </r>
  </si>
  <si>
    <t>Type</t>
  </si>
  <si>
    <t xml:space="preserve"> Debt</t>
  </si>
  <si>
    <t xml:space="preserve"> Purchased</t>
  </si>
  <si>
    <t>Items</t>
  </si>
  <si>
    <r>
      <t xml:space="preserve">Computation of Example:  </t>
    </r>
    <r>
      <rPr>
        <sz val="11"/>
        <rFont val="Cambria"/>
        <family val="1"/>
      </rPr>
      <t>$312,000,000 (assessed valuation) / 1000 = $312,000 (value of one mill)</t>
    </r>
  </si>
  <si>
    <t>In this example, one mill for the municipality will generate $312,000 in taxes.</t>
  </si>
  <si>
    <t>$312,000,000 / 1000 = $312,000 (example #1)</t>
  </si>
  <si>
    <t>$50,000 / $312,000 = .160 mills (example #2)</t>
  </si>
  <si>
    <t>$11,500 (assessed value) x .160 (mill rate) / 1000 = $1.84</t>
  </si>
  <si>
    <t>The increase in property tax for a $100,000 home will be $1.84</t>
  </si>
  <si>
    <t>Clerk Name:</t>
  </si>
  <si>
    <t>Must be at least 10 days between date published and hearing held.</t>
  </si>
  <si>
    <t>January</t>
  </si>
  <si>
    <t>February</t>
  </si>
  <si>
    <t>March</t>
  </si>
  <si>
    <t>April</t>
  </si>
  <si>
    <t>May</t>
  </si>
  <si>
    <t>June</t>
  </si>
  <si>
    <t>July</t>
  </si>
  <si>
    <t>August</t>
  </si>
  <si>
    <t>September</t>
  </si>
  <si>
    <t>October</t>
  </si>
  <si>
    <t>November</t>
  </si>
  <si>
    <t>December</t>
  </si>
  <si>
    <r>
      <rPr>
        <sz val="12"/>
        <color indexed="10"/>
        <rFont val="Times New Roman"/>
        <family val="1"/>
      </rPr>
      <t>Note:</t>
    </r>
    <r>
      <rPr>
        <sz val="12"/>
        <rFont val="Times New Roman"/>
        <family val="1"/>
      </rPr>
      <t xml:space="preserve"> The </t>
    </r>
    <r>
      <rPr>
        <u/>
        <sz val="12"/>
        <rFont val="Times New Roman"/>
        <family val="1"/>
      </rPr>
      <t>below amounts</t>
    </r>
    <r>
      <rPr>
        <sz val="12"/>
        <rFont val="Times New Roman"/>
        <family val="1"/>
      </rPr>
      <t xml:space="preserve"> are used to reflect actual taxes received due to delinquent taxes.  Put a percentage in the green box to compute the amount and link to the fund pages. This </t>
    </r>
    <r>
      <rPr>
        <sz val="12"/>
        <color indexed="10"/>
        <rFont val="Times New Roman"/>
        <family val="1"/>
      </rPr>
      <t>is not mandatory</t>
    </r>
    <r>
      <rPr>
        <sz val="12"/>
        <rFont val="Times New Roman"/>
        <family val="1"/>
      </rPr>
      <t xml:space="preserve"> and can be left blank.            </t>
    </r>
  </si>
  <si>
    <t xml:space="preserve">Amounts used in lieu of </t>
  </si>
  <si>
    <t>Delinquency % used in this budget will be shown on all fund pages with a tax levy**</t>
  </si>
  <si>
    <t xml:space="preserve">Allocation of Motor, Recreational, 16/20M Vehicle Taxes </t>
  </si>
  <si>
    <t>Budgeted Funds</t>
  </si>
  <si>
    <t>Expenditures Must Be Changed by:</t>
  </si>
  <si>
    <t>Mill Rate Comparison</t>
  </si>
  <si>
    <t xml:space="preserve">Prior Year </t>
  </si>
  <si>
    <t xml:space="preserve">Current Year </t>
  </si>
  <si>
    <t xml:space="preserve">Proposed Budget </t>
  </si>
  <si>
    <t>Allocation of Vehicle Taxes</t>
  </si>
  <si>
    <t>3b. Once a date has been entered in the Date block, the following statement will appear: 'Latest date for notice to be published in your newspaper'.  Please ensure to take into consideration as to when your newspaper is published when arriving at the hearing date.</t>
  </si>
  <si>
    <t>6.  Motor Vehicle Allocation(mvalloc) are completed from information entered on the input pages (inputpryr and inputoth).  Once calculated, the tables information are linked to the applicable fund pages. If the information is not correct, please do not change the tables, but rather correct the information on the input pages.</t>
  </si>
  <si>
    <r>
      <t>10a. On all tax levy fund pages, we have placed '</t>
    </r>
    <r>
      <rPr>
        <i/>
        <sz val="12"/>
        <rFont val="Times New Roman"/>
        <family val="1"/>
      </rPr>
      <t>Projected Carryover</t>
    </r>
    <r>
      <rPr>
        <sz val="12"/>
        <rFont val="Times New Roman"/>
        <family val="1"/>
      </rPr>
      <t>' for the proposed budgeted year.   The carryover table provides a little insight as what the projected cash might be using figures from the budget being submitted.  Please keep in mind that the figures used are only estimates and if the actual receipts or expenditures vary, then the project cash carryover will be affected.  Be advised that the delinquent taxes are not included in the projected carryover as they have a major impact on the  'Desired Carryover' table.</t>
    </r>
  </si>
  <si>
    <r>
      <t>10b. On all tax levy fund page, we have placed '</t>
    </r>
    <r>
      <rPr>
        <i/>
        <sz val="12"/>
        <rFont val="Times New Roman"/>
        <family val="1"/>
      </rPr>
      <t>Desired Carryover</t>
    </r>
    <r>
      <rPr>
        <sz val="12"/>
        <rFont val="Times New Roman"/>
        <family val="1"/>
      </rPr>
      <t xml:space="preserve">' which you can place a desired carryover amount and the table will show the mill rate impact along with the expenditure adjustments required to reach the desired carryover.  </t>
    </r>
    <r>
      <rPr>
        <b/>
        <sz val="12"/>
        <color indexed="10"/>
        <rFont val="Times New Roman"/>
        <family val="1"/>
      </rPr>
      <t>Note:</t>
    </r>
    <r>
      <rPr>
        <sz val="12"/>
        <rFont val="Times New Roman"/>
        <family val="1"/>
      </rPr>
      <t xml:space="preserve"> if a </t>
    </r>
    <r>
      <rPr>
        <u/>
        <sz val="12"/>
        <color indexed="10"/>
        <rFont val="Times New Roman"/>
        <family val="1"/>
      </rPr>
      <t>delinquency rate is used</t>
    </r>
    <r>
      <rPr>
        <sz val="12"/>
        <rFont val="Times New Roman"/>
        <family val="1"/>
      </rPr>
      <t>, the table might have you do several adjustments to get the desired result or close to the desire amount.</t>
    </r>
  </si>
  <si>
    <r>
      <t>10c. On all tax levy fund pages, we have placed '</t>
    </r>
    <r>
      <rPr>
        <i/>
        <sz val="12"/>
        <rFont val="Times New Roman"/>
        <family val="1"/>
      </rPr>
      <t>Mill Rate Comparison</t>
    </r>
    <r>
      <rPr>
        <sz val="12"/>
        <rFont val="Times New Roman"/>
        <family val="1"/>
      </rPr>
      <t>' table so you can compare the propose fund mill rate to the current fund mill rate and compare the total proposed mill rate to the total current mill rate. These figures are provided to assist with the determining appropriate mill rate for the proposed budgeted year.</t>
    </r>
  </si>
  <si>
    <r>
      <t xml:space="preserve">10d.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10 for instructions for the neighborhood revitalization rebate for the proposed budget year. </t>
    </r>
  </si>
  <si>
    <r>
      <t xml:space="preserve">10e.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the proposed column miscellaneous receipt also takes into consideration the amount of ad valorem taxes in determining the 10% Rule.</t>
    </r>
  </si>
  <si>
    <r>
      <t xml:space="preserve">10f. The Debt Service fund page (DebtService) can contain all debts owe by the county and the amounts should agree with the Statement of Indebtedness amounts. Debts that are pledged from a revenue stream should have enough funds transferred into the Debt Service fund to cover the bond principle and interest for these debts. </t>
    </r>
    <r>
      <rPr>
        <b/>
        <sz val="12"/>
        <rFont val="Times New Roman"/>
        <family val="1"/>
      </rPr>
      <t>Note</t>
    </r>
    <r>
      <rPr>
        <sz val="12"/>
        <rFont val="Times New Roman"/>
        <family val="1"/>
      </rPr>
      <t xml:space="preserve">, the debts pledged from revenue streams are not required to be included in the Debt Service fund page, but can be paid from the fund the revenue stream is located in. Additionally, if the county has No Fund warrants, these can be included in the Debt Service fund page and levy taxes for this debt. </t>
    </r>
    <r>
      <rPr>
        <b/>
        <sz val="12"/>
        <rFont val="Times New Roman"/>
        <family val="1"/>
      </rPr>
      <t>Note</t>
    </r>
    <r>
      <rPr>
        <sz val="12"/>
        <rFont val="Times New Roman"/>
        <family val="1"/>
      </rPr>
      <t xml:space="preserve">, No Fund warrants </t>
    </r>
    <r>
      <rPr>
        <u/>
        <sz val="12"/>
        <rFont val="Times New Roman"/>
        <family val="1"/>
      </rPr>
      <t>are not required</t>
    </r>
    <r>
      <rPr>
        <sz val="12"/>
        <rFont val="Times New Roman"/>
        <family val="1"/>
      </rPr>
      <t xml:space="preserve"> to be included in the Debt Service and may still have a No Fund page to account for them if the county desires.  </t>
    </r>
  </si>
  <si>
    <r>
      <t>10g. On the Debt Service andRoad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</si>
  <si>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10h. The 4 non-budgeted pages (NonBudA to D) each are designed to hold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</si>
  <si>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10i. The non-budgeted pages in the last column, the last two boxes should have the same figures as the last box take totals from the right side with the next to last box takes totals from the bottom.</t>
  </si>
  <si>
    <r>
      <t xml:space="preserve">10j. All levy fund pages have a Non-Appropriated Balance block. K.S.A. 79-2927 allows the county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"Exceeds 5%" will appear and the block turns red.  In order to remove this warning message, you must reduce the non-appropriate figure.</t>
    </r>
  </si>
  <si>
    <t xml:space="preserve">10k. Each fund after the "unencumbered cash bal dec31", will show the budget authority expenditure amount for the actual and current year. </t>
  </si>
  <si>
    <r>
      <t>10l. For tax levy or no tax levy fund pages, a comparison is made between the budget authority for the actual year and the actual total expenditures for the actual year as shown in the budget. If the total expenditures exceed the budget authority amount, then a '</t>
    </r>
    <r>
      <rPr>
        <sz val="12"/>
        <color indexed="10"/>
        <rFont val="Times New Roman"/>
        <family val="1"/>
      </rPr>
      <t>See Tab A</t>
    </r>
    <r>
      <rPr>
        <sz val="12"/>
        <rFont val="Times New Roman"/>
        <family val="1"/>
      </rPr>
      <t>' appears to indicate a possible violation and the expenditure blocks turns red.  Another comparison is made for the unencumbered cash balance dec 31 to determine if the fund ended with a negative cash balance and if so, then a '</t>
    </r>
    <r>
      <rPr>
        <sz val="12"/>
        <color indexed="10"/>
        <rFont val="Times New Roman"/>
        <family val="1"/>
      </rPr>
      <t>See Tab B</t>
    </r>
    <r>
      <rPr>
        <sz val="12"/>
        <rFont val="Times New Roman"/>
        <family val="1"/>
      </rPr>
      <t xml:space="preserve">' will appear for the violation and the unencumbered cash block turns red. </t>
    </r>
  </si>
  <si>
    <r>
      <t>10m. For tax levy or no tax levy fund pages, a comparison is maybe between the budget authority for the current year and total expenditures for the current budget expenditures as shown in the budget. If the current year adjusted expenditures are more than the budget authority, then a possible violation has occurred and red '</t>
    </r>
    <r>
      <rPr>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sz val="12"/>
        <color indexed="10"/>
        <rFont val="Times New Roman"/>
        <family val="1"/>
      </rPr>
      <t>See Tab D</t>
    </r>
    <r>
      <rPr>
        <sz val="12"/>
        <rFont val="Times New Roman"/>
        <family val="1"/>
      </rPr>
      <t>' will appear for the possible violation and the unencumbered cash block turns red.</t>
    </r>
  </si>
  <si>
    <r>
      <t>10n.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</si>
  <si>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t>1. Instructions tab, added #1c for adjusting ad valorem taxes</t>
  </si>
  <si>
    <t>2. Instructions tab, changed #3 for adding name of official for Budget Summary page</t>
  </si>
  <si>
    <t>3. Instructions tab, added #3b for new max published date on 'inputBudSum' tab</t>
  </si>
  <si>
    <t>4. Instructions tab, changed #6 to remove slider column and computations</t>
  </si>
  <si>
    <t>The following were changed to this spreadsheet on 12/23/11</t>
  </si>
  <si>
    <t>5. Instructions tab, changed #11b to reflect all tax levy pages with 'Projected Carryover' table</t>
  </si>
  <si>
    <t>6. Instructions tab, changed #11c to reflect all tax levy pages with 'Desired Carryover' and warning about delinquency rate</t>
  </si>
  <si>
    <t>7. Instructions tab, added #11d for last year mill rate, proposed total mill rate, and last year total mill rate</t>
  </si>
  <si>
    <t>8. Instructions tab, changed #12b added name of official</t>
  </si>
  <si>
    <t>9. Instructions tab, added #12c for computation of one mill</t>
  </si>
  <si>
    <t>10. Instructions tab, changed #12d added the name of the tables and warning about delinquency rate if used</t>
  </si>
  <si>
    <t>11. Instructions tab, changed #12e added the name of the table and warning about delinquency rate if used</t>
  </si>
  <si>
    <t>12. Instructions tab, changed #12f added that not signing the Budget Summary page will not require to be reprinted</t>
  </si>
  <si>
    <t xml:space="preserve">13. InputPrYr tab, added column for adjusting ad valorem taxes to reflect a better picture of actual taxes received, allow a rate to be used to compute the new amount, and links the new amounts to the appropriate fund page, if used, otherwise used the original amounts </t>
  </si>
  <si>
    <t>14. InputOth tab, section for Computation of Delinquency, change to % from rate and provided example, link to all tax levy fund page will show as %  vs rate</t>
  </si>
  <si>
    <t>15. InputBudSum tab, added official name and latest date for publication of Notice of Budget Hearing</t>
  </si>
  <si>
    <t xml:space="preserve">16. Cert tab, under Table of Content, added Computation to Determine State Library Grant </t>
  </si>
  <si>
    <t>17. Cert tab, right justifyed figures versus having figures centered</t>
  </si>
  <si>
    <t>18. Cert tab, put spaces between governing body signatures block</t>
  </si>
  <si>
    <t>19. Mvalloc tab, removed slider column and computation for slider</t>
  </si>
  <si>
    <t>20. All tax levy fund pages removed the link from Mvalloc tab for slider and converted cells to blank</t>
  </si>
  <si>
    <t xml:space="preserve">21. Debt and Lpform tab added a blank new column at left side and formated 'type of debt' and 'item purchased'  </t>
  </si>
  <si>
    <t>22. All fund pages changed the year column heading, example 'Prior Year Actual' to 'Prior Year' second line 'Actual YYYY'</t>
  </si>
  <si>
    <t xml:space="preserve">23. Change out the 'Mill Rate Computation' tab so to agree with the website </t>
  </si>
  <si>
    <t>24. Added KSA 65-204 to transfer tab</t>
  </si>
  <si>
    <t>25. All tax levy fund pages added 'Mill Rate Comparison' table</t>
  </si>
  <si>
    <t>26. Certificate tab added a place for the email address of the assisted by</t>
  </si>
  <si>
    <t>Email:</t>
  </si>
  <si>
    <t>____________________________________  __________________________________</t>
  </si>
  <si>
    <t>12a. At the bottom of the page is a green shaded area, enter the page number.</t>
  </si>
  <si>
    <r>
      <t>12b. The table '</t>
    </r>
    <r>
      <rPr>
        <i/>
        <sz val="12"/>
        <rFont val="Times New Roman"/>
        <family val="1"/>
      </rPr>
      <t>Estimated Value Of One Mill</t>
    </r>
    <r>
      <rPr>
        <sz val="12"/>
        <rFont val="Times New Roman"/>
        <family val="1"/>
      </rPr>
      <t xml:space="preserve">' to show what 1 mill rate would generate in dollars for the municipality.  </t>
    </r>
  </si>
  <si>
    <r>
      <t>12c. Tables '</t>
    </r>
    <r>
      <rPr>
        <i/>
        <sz val="12"/>
        <rFont val="Times New Roman"/>
        <family val="1"/>
      </rPr>
      <t>What The Mill Rate The Same As</t>
    </r>
    <r>
      <rPr>
        <sz val="12"/>
        <rFont val="Times New Roman"/>
        <family val="1"/>
      </rPr>
      <t>' and '</t>
    </r>
    <r>
      <rPr>
        <i/>
        <sz val="12"/>
        <rFont val="Times New Roman"/>
        <family val="1"/>
      </rPr>
      <t>Impact On Keeping The Same Mill Rate</t>
    </r>
    <r>
      <rPr>
        <sz val="12"/>
        <rFont val="Times New Roman"/>
        <family val="1"/>
      </rPr>
      <t xml:space="preserve">', that shows the impact if the previous mill rate is used for the proposed budgeted year.  To achieve this mill rate, the tax levy fund expenditures will need to be changed by the amount shown.  Depending upon the number of tax levy funds involved, the change can be made to one fund, combination of funds, or all of the tax levy fund expenditures.  </t>
    </r>
    <r>
      <rPr>
        <sz val="12"/>
        <color indexed="10"/>
        <rFont val="Times New Roman"/>
        <family val="1"/>
      </rPr>
      <t>Note</t>
    </r>
    <r>
      <rPr>
        <sz val="12"/>
        <rFont val="Times New Roman"/>
        <family val="1"/>
      </rPr>
      <t xml:space="preserve">: If a </t>
    </r>
    <r>
      <rPr>
        <u/>
        <sz val="12"/>
        <rFont val="Times New Roman"/>
        <family val="1"/>
      </rPr>
      <t>delinquency rate is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b/>
        <sz val="12"/>
        <color indexed="10"/>
        <rFont val="Times New Roman"/>
        <family val="1"/>
      </rPr>
      <t>is not</t>
    </r>
    <r>
      <rPr>
        <sz val="12"/>
        <rFont val="Times New Roman"/>
        <family val="1"/>
      </rPr>
      <t xml:space="preserve"> required to be used, but as a tool to assist in budgeting. </t>
    </r>
  </si>
  <si>
    <r>
      <t>12d. The table '</t>
    </r>
    <r>
      <rPr>
        <i/>
        <sz val="12"/>
        <rFont val="Times New Roman"/>
        <family val="1"/>
      </rPr>
      <t>What Mill Rate Would Be Desired</t>
    </r>
    <r>
      <rPr>
        <sz val="12"/>
        <rFont val="Times New Roman"/>
        <family val="1"/>
      </rPr>
      <t xml:space="preserve">', whereas a municipality can create a desired mill rate.  If a municipality has future plans to make a large purchase, project, or just would like a little more unencumbered cash balance, this table will show the amount of ad valorem taxes needed to reach its needs and amount of adjustments to the tax levy fund expenditures to reach this desired mill rate.  This table could also be used to see the impact if the municipality would like to lower the mill rate. To use this table, simply enter in the green area the desired mill rate.  </t>
    </r>
    <r>
      <rPr>
        <sz val="12"/>
        <color indexed="10"/>
        <rFont val="Times New Roman"/>
        <family val="1"/>
      </rPr>
      <t>Note</t>
    </r>
    <r>
      <rPr>
        <sz val="12"/>
        <rFont val="Times New Roman"/>
        <family val="1"/>
      </rPr>
      <t xml:space="preserve">: If a </t>
    </r>
    <r>
      <rPr>
        <u/>
        <sz val="12"/>
        <rFont val="Times New Roman"/>
        <family val="1"/>
      </rPr>
      <t>delinquency rate used</t>
    </r>
    <r>
      <rPr>
        <sz val="12"/>
        <rFont val="Times New Roman"/>
        <family val="1"/>
      </rPr>
      <t xml:space="preserve"> on the tax levy fund pages, the table might have you do several adjustments to get the desired result or close to the desire amount. </t>
    </r>
    <r>
      <rPr>
        <sz val="12"/>
        <color indexed="10"/>
        <rFont val="Times New Roman"/>
        <family val="1"/>
      </rPr>
      <t>Also please</t>
    </r>
    <r>
      <rPr>
        <sz val="12"/>
        <rFont val="Times New Roman"/>
        <family val="1"/>
      </rPr>
      <t xml:space="preserve"> </t>
    </r>
    <r>
      <rPr>
        <sz val="12"/>
        <color indexed="10"/>
        <rFont val="Times New Roman"/>
        <family val="1"/>
      </rPr>
      <t>note</t>
    </r>
    <r>
      <rPr>
        <sz val="12"/>
        <rFont val="Times New Roman"/>
        <family val="1"/>
      </rPr>
      <t xml:space="preserve">, this table </t>
    </r>
    <r>
      <rPr>
        <sz val="12"/>
        <color indexed="10"/>
        <rFont val="Times New Roman"/>
        <family val="1"/>
      </rPr>
      <t>is not</t>
    </r>
    <r>
      <rPr>
        <sz val="12"/>
        <rFont val="Times New Roman"/>
        <family val="1"/>
      </rPr>
      <t xml:space="preserve"> required to be used, but as a tool to assist in budgeting. </t>
    </r>
  </si>
  <si>
    <r>
      <t xml:space="preserve">12e. Before printing, review the form to ensure all the information is provided and the figures are correct. Print the page, have official sign it, and take to the local newspaper for printing. For those municipalities that are electronically sending the summary to the newspaper, you can type in the official name before sending.  Please note:  Signing the document is </t>
    </r>
    <r>
      <rPr>
        <b/>
        <sz val="12"/>
        <rFont val="Times New Roman"/>
        <family val="1"/>
      </rPr>
      <t>desired</t>
    </r>
    <r>
      <rPr>
        <sz val="12"/>
        <rFont val="Times New Roman"/>
        <family val="1"/>
      </rPr>
      <t xml:space="preserve">, but not signing </t>
    </r>
    <r>
      <rPr>
        <u/>
        <sz val="12"/>
        <rFont val="Times New Roman"/>
        <family val="1"/>
      </rPr>
      <t>will not</t>
    </r>
    <r>
      <rPr>
        <sz val="12"/>
        <rFont val="Times New Roman"/>
        <family val="1"/>
      </rPr>
      <t xml:space="preserve"> cause the municipality to reprint.</t>
    </r>
  </si>
  <si>
    <t>12f. Once the 'Notice of Budget Hearing' has been printed in the local newspaper, please review the notice to ensure the information was correctly printed.  If the information is not correct, the Notice may need to be republished, and may delay the submission of the budget.</t>
  </si>
  <si>
    <t>12g. If the Special District budgets are computed by the County Clerk, the Clerk could complete the County Spec District.xls spreadsheet and this spreadsheet would be included with the county's budget.  Both Budget Summary pages would be taken to the newspaper for publication.</t>
  </si>
  <si>
    <t>Lyon County</t>
  </si>
  <si>
    <t>19-120</t>
  </si>
  <si>
    <t>19-4004</t>
  </si>
  <si>
    <t>2-1318</t>
  </si>
  <si>
    <t>68-1135</t>
  </si>
  <si>
    <t>68-141g</t>
  </si>
  <si>
    <t>75-6110</t>
  </si>
  <si>
    <t>65-204</t>
  </si>
  <si>
    <t>CDBG Water District Grant (21)</t>
  </si>
  <si>
    <t>911 Service Fund (19)</t>
  </si>
  <si>
    <t>Citizen Review Board (18)</t>
  </si>
  <si>
    <t>JV Community Initiative Grant (15)</t>
  </si>
  <si>
    <t>Court Trustee (14)</t>
  </si>
  <si>
    <t>Cert Grant (13)</t>
  </si>
  <si>
    <t>Community Corrections (12)</t>
  </si>
  <si>
    <t>No Fund Warrant (51)</t>
  </si>
  <si>
    <t>Bond &amp; Interest (50)</t>
  </si>
  <si>
    <t>Health Department (66)</t>
  </si>
  <si>
    <t xml:space="preserve">Tort Liability (53) </t>
  </si>
  <si>
    <t>Special R&amp;B 559A (41)</t>
  </si>
  <si>
    <t>Special Bridge 1135 (33)</t>
  </si>
  <si>
    <t>Hetlinger Development (28)</t>
  </si>
  <si>
    <t>Noxious Weeds (26)</t>
  </si>
  <si>
    <t>Newman Hospital (25)</t>
  </si>
  <si>
    <t>Mental Health (23)</t>
  </si>
  <si>
    <t>Multi-year Cap Imp (17)</t>
  </si>
  <si>
    <t>DOE CDBG Grant (22)</t>
  </si>
  <si>
    <t>Register of Deeds Technology (36)</t>
  </si>
  <si>
    <t>County Auto-Vehicle Dept (37)</t>
  </si>
  <si>
    <t>Prosecutor Training (38)</t>
  </si>
  <si>
    <t>Courthouse Bond &amp; Interest (44)</t>
  </si>
  <si>
    <t>Sales Tax Revenue (46)</t>
  </si>
  <si>
    <t>New Courthouse (47)</t>
  </si>
  <si>
    <t>Courthouse Sales Tax Surplus (52)</t>
  </si>
  <si>
    <t>Special Alcohol Fund (54)</t>
  </si>
  <si>
    <t>Special Parks &amp; Rec (55)</t>
  </si>
  <si>
    <t>FEMA Grant (24)</t>
  </si>
  <si>
    <t>Drug Court (81)</t>
  </si>
  <si>
    <t>Drug Tax Law Enforce Trust (82)</t>
  </si>
  <si>
    <t>Special Law Enforcement KSA (84)</t>
  </si>
  <si>
    <t>Special Prosecutor Forfeiture (85)</t>
  </si>
  <si>
    <t>Diversionary Service Fees (86)</t>
  </si>
  <si>
    <t>Worthless Check Trust Fund (87)</t>
  </si>
  <si>
    <t>Federal Forfeiture Fund (89)</t>
  </si>
  <si>
    <t>Registration Fees</t>
  </si>
  <si>
    <t>Utility Reimbursement</t>
  </si>
  <si>
    <t>Officer Fees</t>
  </si>
  <si>
    <t>Grants</t>
  </si>
  <si>
    <t>Electronic Monitoring Fee</t>
  </si>
  <si>
    <t>Fed Owned Land Entitlement</t>
  </si>
  <si>
    <t>Licenses</t>
  </si>
  <si>
    <t>Court Witness Fees</t>
  </si>
  <si>
    <t>House Arrest Fees</t>
  </si>
  <si>
    <t>Interest on JV Detention</t>
  </si>
  <si>
    <t>Co Wide Zoning Permits</t>
  </si>
  <si>
    <t>Antique fees</t>
  </si>
  <si>
    <t>Juvenile Supervision fees</t>
  </si>
  <si>
    <t>Emergency Management Grant</t>
  </si>
  <si>
    <t>Legal Defense Reimbursement</t>
  </si>
  <si>
    <t>Other Reimbursements</t>
  </si>
  <si>
    <t>Prior year cancelled warrants</t>
  </si>
  <si>
    <t>FEMA Reimbursement</t>
  </si>
  <si>
    <t>Jail Telephone Lease Receipts</t>
  </si>
  <si>
    <t>Bail Forfeitures</t>
  </si>
  <si>
    <t>Commissary proceeds</t>
  </si>
  <si>
    <t>Detention Center</t>
  </si>
  <si>
    <t xml:space="preserve">  Transfers</t>
  </si>
  <si>
    <t xml:space="preserve">  Appropriation</t>
  </si>
  <si>
    <t>Appropriation</t>
  </si>
  <si>
    <t>Dentention Center</t>
  </si>
  <si>
    <t>prior year cancelled encumbrances</t>
  </si>
  <si>
    <t>Special KDOT Funds</t>
  </si>
  <si>
    <t>Reimbursements</t>
  </si>
  <si>
    <t>Other income</t>
  </si>
  <si>
    <t xml:space="preserve">Salaries </t>
  </si>
  <si>
    <t>Contractual</t>
  </si>
  <si>
    <t>Commodities</t>
  </si>
  <si>
    <t>Capital Outlay</t>
  </si>
  <si>
    <t>Prior year cancelled encumbrances</t>
  </si>
  <si>
    <t>Reimbursed expenses</t>
  </si>
  <si>
    <t>Transfer in</t>
  </si>
  <si>
    <t>Sale of fixed assets</t>
  </si>
  <si>
    <t>Reimbursed expense - Chemicals</t>
  </si>
  <si>
    <t>Remibursed expense - Labor</t>
  </si>
  <si>
    <t>Equipment reimbursed</t>
  </si>
  <si>
    <t>Salary</t>
  </si>
  <si>
    <t xml:space="preserve">Contractual </t>
  </si>
  <si>
    <t>Salaries</t>
  </si>
  <si>
    <t>Prior year cancelled encumb</t>
  </si>
  <si>
    <t>Reimbursed expense</t>
  </si>
  <si>
    <t>Insurance reimbursement</t>
  </si>
  <si>
    <t>General Liability Insurance</t>
  </si>
  <si>
    <t>Tort Liability Transfer</t>
  </si>
  <si>
    <t>Transfer out</t>
  </si>
  <si>
    <t>Grant Adult</t>
  </si>
  <si>
    <t>Administration Grant</t>
  </si>
  <si>
    <t>Adult Administration</t>
  </si>
  <si>
    <t>Adult Intensive Supervision Grant</t>
  </si>
  <si>
    <t>Collection/Attorney Fees</t>
  </si>
  <si>
    <t>Grant Income</t>
  </si>
  <si>
    <t>School Resource Counselor</t>
  </si>
  <si>
    <t>Juvenile Intake &amp; Assessment</t>
  </si>
  <si>
    <t>Juvenile Intensive Supervision</t>
  </si>
  <si>
    <t>Case Management</t>
  </si>
  <si>
    <t>Service Fees - Telephone</t>
  </si>
  <si>
    <t>Wireless 911 Income</t>
  </si>
  <si>
    <t>Other Fees</t>
  </si>
  <si>
    <t>Transfers out</t>
  </si>
  <si>
    <t>Prosecuting Attorney Fees</t>
  </si>
  <si>
    <t>Training Expenditures</t>
  </si>
  <si>
    <t>Transfer in Sales Tax Surplus</t>
  </si>
  <si>
    <t>Principal Pre-payment</t>
  </si>
  <si>
    <t xml:space="preserve">Principal  </t>
  </si>
  <si>
    <t xml:space="preserve">Interest  </t>
  </si>
  <si>
    <t>Courthouse Sales Tax receipt</t>
  </si>
  <si>
    <t>Transfer from Sales Tax Revenue</t>
  </si>
  <si>
    <t>Investment Administrative fees</t>
  </si>
  <si>
    <t>Transfer to Bond fund</t>
  </si>
  <si>
    <t>Transfer to Multi-Year</t>
  </si>
  <si>
    <t>Transfer to General</t>
  </si>
  <si>
    <t>Liquor tax</t>
  </si>
  <si>
    <t xml:space="preserve">Drug tax  </t>
  </si>
  <si>
    <t>Intergovernmental</t>
  </si>
  <si>
    <t>Intergovermental</t>
  </si>
  <si>
    <t>County Commission 10-01</t>
  </si>
  <si>
    <t>County Clerk 10-02</t>
  </si>
  <si>
    <t>County Treasurer 10-03</t>
  </si>
  <si>
    <t>County Attorney 10-04</t>
  </si>
  <si>
    <t>Register of Deeds 10-05</t>
  </si>
  <si>
    <t>Solid Waste 10-06</t>
  </si>
  <si>
    <t>Unified Court 10-07</t>
  </si>
  <si>
    <t>Courthouse General 10-08</t>
  </si>
  <si>
    <t>Human Resources 10-09</t>
  </si>
  <si>
    <t>Emergency Management 10-10</t>
  </si>
  <si>
    <t>Juvenile Services 10-11</t>
  </si>
  <si>
    <t>County Coroner 10-12</t>
  </si>
  <si>
    <t>County Wide Zoning 10-15</t>
  </si>
  <si>
    <t>Finance, Data Processing &amp; Payroll 10-16</t>
  </si>
  <si>
    <t>Law Enforcement 10-17</t>
  </si>
  <si>
    <t>County General 10-18</t>
  </si>
  <si>
    <t>Jail Management 10-20</t>
  </si>
  <si>
    <t>Direct Election 10-21</t>
  </si>
  <si>
    <t>Extension 10-22</t>
  </si>
  <si>
    <t>Appraisal 10-25</t>
  </si>
  <si>
    <t>Ambulance 10-27</t>
  </si>
  <si>
    <t>Historical Society 10-29</t>
  </si>
  <si>
    <t>Soil Conservation 10-30</t>
  </si>
  <si>
    <t>Household Waste 10-31</t>
  </si>
  <si>
    <t>Administrative Services 10-32</t>
  </si>
  <si>
    <t>Assistant County Counselor 10-33</t>
  </si>
  <si>
    <t>Fair Building 10-36</t>
  </si>
  <si>
    <t>Fair Board 10-46</t>
  </si>
  <si>
    <t>Information Technology 10-51</t>
  </si>
  <si>
    <t>Employee Benefit 10-58</t>
  </si>
  <si>
    <t>Dept of Aging 10-61</t>
  </si>
  <si>
    <t>Retired Senior Volunteer Program 10-62</t>
  </si>
  <si>
    <t>Transportation - first half 10-63</t>
  </si>
  <si>
    <t>Transportation - second half 10-64</t>
  </si>
  <si>
    <t>County Facility Management 10-70</t>
  </si>
  <si>
    <t>County Library</t>
  </si>
  <si>
    <t>Recreation District #1</t>
  </si>
  <si>
    <t>Fire District #1</t>
  </si>
  <si>
    <t>Fire District #3</t>
  </si>
  <si>
    <t>Fire District #4</t>
  </si>
  <si>
    <t>Fire District #5</t>
  </si>
  <si>
    <t>Prisoner Care</t>
  </si>
  <si>
    <t>Neigh. Rev County</t>
  </si>
  <si>
    <t xml:space="preserve">Rider fares/FHCHC </t>
  </si>
  <si>
    <t>Advertising</t>
  </si>
  <si>
    <t>Fairgrounds income</t>
  </si>
  <si>
    <t>In Lieu of tax</t>
  </si>
  <si>
    <t>Grant Income Intern</t>
  </si>
  <si>
    <t>Functional Family</t>
  </si>
  <si>
    <t>Surveillance Program (16)</t>
  </si>
  <si>
    <t>Appropriations</t>
  </si>
  <si>
    <t>Tort Liability</t>
  </si>
  <si>
    <t>County Auto Vehicle</t>
  </si>
  <si>
    <t>Bond &amp; Interest</t>
  </si>
  <si>
    <t>Courthouse Bond &amp; Interest</t>
  </si>
  <si>
    <t>Courthouse Sales Tax</t>
  </si>
  <si>
    <t>Courthouse Sales Tax Surplus</t>
  </si>
  <si>
    <t>Courthouse Construction</t>
  </si>
  <si>
    <t>Multi Year Cap Improv</t>
  </si>
  <si>
    <t>Diversionary service fees</t>
  </si>
  <si>
    <t>Surveillance Program</t>
  </si>
  <si>
    <t>K.S.A. 12-187</t>
  </si>
  <si>
    <t>K.S.A. 8-145</t>
  </si>
  <si>
    <t>K.S.A. 19-120</t>
  </si>
  <si>
    <t>Komatxu GD653-3CA Motor</t>
  </si>
  <si>
    <t xml:space="preserve"> Grader</t>
  </si>
  <si>
    <t>Sales Tax Series 1999B</t>
  </si>
  <si>
    <t>4.6-6.5</t>
  </si>
  <si>
    <t>3/1 &amp; 9/1</t>
  </si>
  <si>
    <t>Court Trustee</t>
  </si>
  <si>
    <t>Bail Forfeitures-transfer in</t>
  </si>
  <si>
    <t>Matching income</t>
  </si>
  <si>
    <t>Transfer from Courthouse B&amp;I</t>
  </si>
  <si>
    <t>Transfer from Sales Tax revenue</t>
  </si>
  <si>
    <t>Transfer from Courthouse Construction</t>
  </si>
  <si>
    <t>Transfer to Courthouse B&amp;I</t>
  </si>
  <si>
    <t>Transfer to Courthouse Sales Tax surplus</t>
  </si>
  <si>
    <t>Transfer</t>
  </si>
  <si>
    <t>No Fund Warrant</t>
  </si>
  <si>
    <t>K.S.A. 79-2598</t>
  </si>
  <si>
    <t xml:space="preserve">Sales Tax </t>
  </si>
  <si>
    <t>Contractural</t>
  </si>
  <si>
    <t>Fire District #2-General</t>
  </si>
  <si>
    <t>Fire District #2 Debt</t>
  </si>
  <si>
    <t>Fire District #5 Reserves</t>
  </si>
  <si>
    <t>Tammy Vopat</t>
  </si>
  <si>
    <t>08/22/2013</t>
  </si>
  <si>
    <t>10:00 AM</t>
  </si>
  <si>
    <t>Lyon County Commission Chambers</t>
  </si>
  <si>
    <t xml:space="preserve"> Tammy Vopat</t>
  </si>
  <si>
    <t>No</t>
  </si>
  <si>
    <t>12-1247</t>
  </si>
  <si>
    <t>12-1927</t>
  </si>
  <si>
    <t>19-3610</t>
  </si>
  <si>
    <t>Fire District #2-Debt Service</t>
  </si>
  <si>
    <t>Supplies</t>
  </si>
</sst>
</file>

<file path=xl/styles.xml><?xml version="1.0" encoding="utf-8"?>
<styleSheet xmlns="http://schemas.openxmlformats.org/spreadsheetml/2006/main">
  <numFmts count="19">
    <numFmt numFmtId="5" formatCode="&quot;$&quot;#,##0_);\(&quot;$&quot;#,##0\)"/>
    <numFmt numFmtId="43" formatCode="_(* #,##0.00_);_(* \(#,##0.00\);_(* &quot;-&quot;??_);_(@_)"/>
    <numFmt numFmtId="164" formatCode="0.000_)"/>
    <numFmt numFmtId="165" formatCode="0.00000_)"/>
    <numFmt numFmtId="166" formatCode="0_)"/>
    <numFmt numFmtId="167" formatCode="0.00000"/>
    <numFmt numFmtId="168" formatCode="m/d/yy"/>
    <numFmt numFmtId="169" formatCode="m/d"/>
    <numFmt numFmtId="170" formatCode="_(* #,##0_);_(* \(#,##0\);_(* &quot;-&quot;??_);_(@_)"/>
    <numFmt numFmtId="171" formatCode="#,##0.000_);\(#,##0.000\)"/>
    <numFmt numFmtId="172" formatCode="0.000"/>
    <numFmt numFmtId="173" formatCode="#,##0.000"/>
    <numFmt numFmtId="174" formatCode="[$-409]mmmm\ d\,\ yyyy;@"/>
    <numFmt numFmtId="175" formatCode="[$-409]h:mm\ AM/PM;@"/>
    <numFmt numFmtId="176" formatCode="&quot;$&quot;#,##0"/>
    <numFmt numFmtId="177" formatCode="&quot;$&quot;#,##0.00"/>
    <numFmt numFmtId="178" formatCode="#,###"/>
    <numFmt numFmtId="179" formatCode="0.0%"/>
    <numFmt numFmtId="180" formatCode="0.0000_)"/>
  </numFmts>
  <fonts count="65">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4"/>
      <name val="Times New Roman"/>
      <family val="1"/>
    </font>
    <font>
      <sz val="11"/>
      <name val="Times New Roman"/>
      <family val="1"/>
    </font>
    <font>
      <sz val="8"/>
      <name val="Courier"/>
      <family val="3"/>
    </font>
    <font>
      <sz val="12"/>
      <name val="Courier New"/>
      <family val="3"/>
    </font>
    <font>
      <sz val="8"/>
      <name val="Courier New"/>
      <family val="3"/>
    </font>
    <font>
      <i/>
      <sz val="11"/>
      <name val="Times New Roman"/>
      <family val="1"/>
    </font>
    <font>
      <b/>
      <sz val="11"/>
      <name val="Times New Roman"/>
      <family val="1"/>
    </font>
    <font>
      <sz val="11"/>
      <color indexed="9"/>
      <name val="Times New Roman"/>
      <family val="1"/>
    </font>
    <font>
      <sz val="9"/>
      <name val="Times New Roman"/>
      <family val="1"/>
    </font>
    <font>
      <sz val="10"/>
      <name val="Times New Roman"/>
      <family val="1"/>
    </font>
    <font>
      <b/>
      <sz val="10"/>
      <name val="Times New Roman"/>
      <family val="1"/>
    </font>
    <font>
      <sz val="10"/>
      <name val="Courier"/>
      <family val="3"/>
    </font>
    <font>
      <sz val="12"/>
      <color indexed="9"/>
      <name val="Times New Roman"/>
      <family val="1"/>
    </font>
    <font>
      <sz val="8"/>
      <name val="Times New Roman"/>
      <family val="1"/>
    </font>
    <font>
      <b/>
      <u/>
      <sz val="12"/>
      <name val="Times New Roman"/>
      <family val="1"/>
    </font>
    <font>
      <sz val="12"/>
      <color indexed="10"/>
      <name val="Times New Roman"/>
      <family val="1"/>
    </font>
    <font>
      <b/>
      <u/>
      <sz val="12"/>
      <color indexed="10"/>
      <name val="Times New Roman"/>
      <family val="1"/>
    </font>
    <font>
      <b/>
      <u/>
      <sz val="12"/>
      <name val="Courier"/>
      <family val="3"/>
    </font>
    <font>
      <b/>
      <sz val="8"/>
      <name val="Times New Roman"/>
      <family val="1"/>
    </font>
    <font>
      <b/>
      <u/>
      <sz val="10"/>
      <name val="Times New Roman"/>
      <family val="1"/>
    </font>
    <font>
      <b/>
      <sz val="12"/>
      <color indexed="10"/>
      <name val="Times New Roman"/>
      <family val="1"/>
    </font>
    <font>
      <sz val="12"/>
      <color indexed="10"/>
      <name val="Courier"/>
      <family val="3"/>
    </font>
    <font>
      <i/>
      <sz val="12"/>
      <name val="Times New Roman"/>
      <family val="1"/>
    </font>
    <font>
      <sz val="12"/>
      <name val="Courier"/>
      <family val="3"/>
    </font>
    <font>
      <b/>
      <u/>
      <sz val="14"/>
      <name val="Times New Roman"/>
      <family val="1"/>
    </font>
    <font>
      <b/>
      <sz val="12"/>
      <color indexed="8"/>
      <name val="Times New Roman"/>
      <family val="1"/>
    </font>
    <font>
      <sz val="12"/>
      <color indexed="8"/>
      <name val="Times New Roman"/>
      <family val="1"/>
    </font>
    <font>
      <b/>
      <sz val="11"/>
      <color indexed="8"/>
      <name val="Arial"/>
      <family val="2"/>
    </font>
    <font>
      <sz val="11"/>
      <color indexed="8"/>
      <name val="Arial"/>
      <family val="2"/>
    </font>
    <font>
      <b/>
      <u/>
      <sz val="8"/>
      <color indexed="10"/>
      <name val="Times New Roman"/>
      <family val="1"/>
    </font>
    <font>
      <sz val="14"/>
      <name val="Courier"/>
      <family val="3"/>
    </font>
    <font>
      <b/>
      <sz val="14"/>
      <name val="Times New Roman"/>
      <family val="1"/>
    </font>
    <font>
      <u/>
      <sz val="12"/>
      <color indexed="12"/>
      <name val="Courier"/>
      <family val="3"/>
    </font>
    <font>
      <sz val="12"/>
      <name val="Courier New"/>
      <family val="3"/>
    </font>
    <font>
      <b/>
      <sz val="12"/>
      <name val="Courier"/>
      <family val="3"/>
    </font>
    <font>
      <i/>
      <sz val="12"/>
      <name val="Courier"/>
      <family val="3"/>
    </font>
    <font>
      <i/>
      <u/>
      <sz val="12"/>
      <name val="Courier"/>
      <family val="3"/>
    </font>
    <font>
      <sz val="12"/>
      <name val="Courier"/>
      <family val="3"/>
    </font>
    <font>
      <sz val="11"/>
      <color indexed="8"/>
      <name val="Times New Roman"/>
      <family val="1"/>
    </font>
    <font>
      <b/>
      <sz val="11"/>
      <color indexed="8"/>
      <name val="Times New Roman"/>
      <family val="1"/>
    </font>
    <font>
      <b/>
      <u/>
      <sz val="10"/>
      <name val="Courier"/>
      <family val="3"/>
    </font>
    <font>
      <sz val="10"/>
      <color indexed="10"/>
      <name val="Times New Roman"/>
      <family val="1"/>
    </font>
    <font>
      <b/>
      <sz val="11"/>
      <color indexed="8"/>
      <name val="Cambria"/>
      <family val="1"/>
    </font>
    <font>
      <sz val="11"/>
      <name val="Cambria"/>
      <family val="1"/>
    </font>
    <font>
      <b/>
      <sz val="13"/>
      <name val="Times New Roman"/>
      <family val="1"/>
    </font>
    <font>
      <u/>
      <sz val="12"/>
      <color indexed="12"/>
      <name val="Times New Roman"/>
      <family val="1"/>
    </font>
    <font>
      <u/>
      <sz val="12"/>
      <color indexed="1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sz val="12"/>
      <color theme="0"/>
      <name val="Courier"/>
      <family val="3"/>
    </font>
    <font>
      <sz val="12"/>
      <color theme="0"/>
      <name val="Courier New"/>
      <family val="3"/>
    </font>
    <font>
      <sz val="8"/>
      <color theme="0"/>
      <name val="Times New Roman"/>
      <family val="1"/>
    </font>
    <font>
      <sz val="12"/>
      <color theme="0"/>
      <name val="Times New Roman"/>
      <family val="1"/>
    </font>
    <font>
      <sz val="10"/>
      <color rgb="FFFF0000"/>
      <name val="Times New Roman"/>
      <family val="1"/>
    </font>
    <font>
      <sz val="7"/>
      <name val="Times New Roman"/>
      <family val="1"/>
    </font>
    <font>
      <sz val="12"/>
      <color rgb="FFFF0000"/>
      <name val="Times New Roman"/>
      <family val="1"/>
    </font>
    <font>
      <sz val="12"/>
      <color theme="1"/>
      <name val="Times New Roman"/>
      <family val="1"/>
    </font>
  </fonts>
  <fills count="18">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1"/>
      </patternFill>
    </fill>
    <fill>
      <patternFill patternType="solid">
        <fgColor indexed="35"/>
        <bgColor indexed="64"/>
      </patternFill>
    </fill>
    <fill>
      <patternFill patternType="solid">
        <fgColor indexed="13"/>
        <bgColor indexed="64"/>
      </patternFill>
    </fill>
    <fill>
      <patternFill patternType="solid">
        <fgColor indexed="34"/>
        <bgColor indexed="64"/>
      </patternFill>
    </fill>
    <fill>
      <patternFill patternType="solid">
        <fgColor rgb="FF00FF00"/>
        <bgColor indexed="64"/>
      </patternFill>
    </fill>
    <fill>
      <patternFill patternType="solid">
        <fgColor rgb="FFFFFFC0"/>
        <bgColor indexed="64"/>
      </patternFill>
    </fill>
    <fill>
      <patternFill patternType="solid">
        <fgColor rgb="FFFFFF00"/>
        <bgColor indexed="64"/>
      </patternFill>
    </fill>
    <fill>
      <patternFill patternType="solid">
        <fgColor rgb="FFFFFF99"/>
        <bgColor indexed="64"/>
      </patternFill>
    </fill>
    <fill>
      <patternFill patternType="solid">
        <fgColor rgb="FF00FFFF"/>
        <bgColor indexed="64"/>
      </patternFill>
    </fill>
    <fill>
      <patternFill patternType="solid">
        <fgColor theme="0"/>
        <bgColor indexed="64"/>
      </patternFill>
    </fill>
    <fill>
      <patternFill patternType="solid">
        <fgColor rgb="FFFFFFCC"/>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42">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xf numFmtId="0" fontId="9" fillId="0" borderId="0"/>
    <xf numFmtId="0" fontId="9" fillId="0" borderId="0"/>
    <xf numFmtId="0" fontId="2" fillId="0" borderId="0"/>
    <xf numFmtId="0" fontId="9" fillId="0" borderId="0"/>
    <xf numFmtId="0" fontId="9" fillId="0" borderId="0"/>
    <xf numFmtId="0" fontId="2" fillId="0" borderId="0"/>
    <xf numFmtId="0" fontId="2" fillId="0" borderId="0"/>
    <xf numFmtId="0" fontId="39" fillId="0" borderId="0"/>
    <xf numFmtId="0" fontId="9" fillId="0" borderId="0"/>
    <xf numFmtId="0" fontId="9" fillId="0" borderId="0"/>
    <xf numFmtId="0" fontId="9" fillId="0" borderId="0"/>
    <xf numFmtId="0" fontId="9" fillId="0" borderId="0"/>
    <xf numFmtId="0" fontId="2" fillId="0" borderId="0"/>
    <xf numFmtId="0" fontId="4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9" fillId="0" borderId="0"/>
    <xf numFmtId="0" fontId="9" fillId="0" borderId="0"/>
    <xf numFmtId="0" fontId="9" fillId="0" borderId="0"/>
    <xf numFmtId="0" fontId="9" fillId="0" borderId="0"/>
    <xf numFmtId="0" fontId="2" fillId="0" borderId="0"/>
    <xf numFmtId="0" fontId="2" fillId="0" borderId="0"/>
    <xf numFmtId="0" fontId="39" fillId="0" borderId="0"/>
    <xf numFmtId="0" fontId="9" fillId="0" borderId="0"/>
    <xf numFmtId="0" fontId="9" fillId="0" borderId="0"/>
    <xf numFmtId="0" fontId="9" fillId="0" borderId="0"/>
    <xf numFmtId="0" fontId="39" fillId="0" borderId="0"/>
    <xf numFmtId="0" fontId="9" fillId="0" borderId="0"/>
    <xf numFmtId="0" fontId="9" fillId="0" borderId="0"/>
    <xf numFmtId="0" fontId="9" fillId="0" borderId="0"/>
    <xf numFmtId="0" fontId="3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2" fillId="0" borderId="0"/>
    <xf numFmtId="0" fontId="29" fillId="0" borderId="0"/>
    <xf numFmtId="0" fontId="9" fillId="0" borderId="0"/>
    <xf numFmtId="0" fontId="9" fillId="0" borderId="0"/>
    <xf numFmtId="0" fontId="9" fillId="0" borderId="0"/>
    <xf numFmtId="0" fontId="2" fillId="0" borderId="0"/>
    <xf numFmtId="0" fontId="9" fillId="0" borderId="0"/>
    <xf numFmtId="0" fontId="2" fillId="0" borderId="0"/>
    <xf numFmtId="0" fontId="29"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39" fillId="0" borderId="0"/>
    <xf numFmtId="0" fontId="9" fillId="0" borderId="0"/>
    <xf numFmtId="0" fontId="9" fillId="0" borderId="0"/>
    <xf numFmtId="0" fontId="9" fillId="0" borderId="0"/>
    <xf numFmtId="0" fontId="2" fillId="0" borderId="0"/>
    <xf numFmtId="0" fontId="9" fillId="0" borderId="0"/>
    <xf numFmtId="0" fontId="9" fillId="0" borderId="0"/>
    <xf numFmtId="0" fontId="39" fillId="0" borderId="0"/>
    <xf numFmtId="0" fontId="9" fillId="0" borderId="0"/>
    <xf numFmtId="0" fontId="9" fillId="0" borderId="0"/>
    <xf numFmtId="0" fontId="2" fillId="0" borderId="0"/>
    <xf numFmtId="0" fontId="2" fillId="0" borderId="0"/>
    <xf numFmtId="0" fontId="2" fillId="0" borderId="0"/>
    <xf numFmtId="0" fontId="3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865">
    <xf numFmtId="0" fontId="0" fillId="0" borderId="0" xfId="0"/>
    <xf numFmtId="0" fontId="3" fillId="0" borderId="0" xfId="0" applyFont="1" applyProtection="1">
      <protection locked="0"/>
    </xf>
    <xf numFmtId="0" fontId="3" fillId="0" borderId="0" xfId="0" applyFont="1"/>
    <xf numFmtId="0" fontId="3" fillId="0" borderId="0" xfId="0" applyFont="1" applyAlignment="1">
      <alignment horizontal="centerContinuous"/>
    </xf>
    <xf numFmtId="37" fontId="3" fillId="0" borderId="0" xfId="0" applyNumberFormat="1" applyFont="1" applyAlignment="1" applyProtection="1">
      <alignment horizontal="left"/>
      <protection locked="0"/>
    </xf>
    <xf numFmtId="37" fontId="3" fillId="0" borderId="0" xfId="0" applyNumberFormat="1" applyFont="1" applyAlignment="1" applyProtection="1">
      <alignment horizontal="center"/>
      <protection locked="0"/>
    </xf>
    <xf numFmtId="0" fontId="3" fillId="0" borderId="0" xfId="0" applyFont="1" applyAlignment="1"/>
    <xf numFmtId="0" fontId="3" fillId="0" borderId="0" xfId="0" applyFont="1" applyAlignment="1" applyProtection="1">
      <alignment horizontal="centerContinuous"/>
      <protection locked="0"/>
    </xf>
    <xf numFmtId="37" fontId="3" fillId="0" borderId="1" xfId="0" applyNumberFormat="1" applyFont="1" applyBorder="1" applyAlignment="1" applyProtection="1">
      <alignment horizontal="fill"/>
      <protection locked="0"/>
    </xf>
    <xf numFmtId="37" fontId="3" fillId="2" borderId="2" xfId="0" applyNumberFormat="1" applyFont="1" applyFill="1" applyBorder="1" applyProtection="1">
      <protection locked="0"/>
    </xf>
    <xf numFmtId="0" fontId="3" fillId="2" borderId="0" xfId="0" applyFont="1" applyFill="1" applyProtection="1">
      <protection locked="0"/>
    </xf>
    <xf numFmtId="164" fontId="3" fillId="2" borderId="2" xfId="0" applyNumberFormat="1" applyFont="1" applyFill="1" applyBorder="1" applyProtection="1">
      <protection locked="0"/>
    </xf>
    <xf numFmtId="37" fontId="3" fillId="3" borderId="3" xfId="0" applyNumberFormat="1" applyFont="1" applyFill="1" applyBorder="1" applyAlignment="1" applyProtection="1">
      <alignment horizontal="center"/>
    </xf>
    <xf numFmtId="37" fontId="3" fillId="3" borderId="0" xfId="0" applyNumberFormat="1" applyFont="1" applyFill="1" applyAlignment="1" applyProtection="1">
      <alignment horizontal="right"/>
    </xf>
    <xf numFmtId="0" fontId="3" fillId="3" borderId="0" xfId="0" applyFont="1" applyFill="1" applyProtection="1"/>
    <xf numFmtId="37" fontId="3" fillId="3" borderId="0" xfId="0" applyNumberFormat="1" applyFont="1" applyFill="1" applyAlignment="1" applyProtection="1">
      <alignment horizontal="left"/>
    </xf>
    <xf numFmtId="37" fontId="3" fillId="3" borderId="0" xfId="0" applyNumberFormat="1" applyFont="1" applyFill="1" applyAlignment="1" applyProtection="1">
      <alignment horizontal="centerContinuous"/>
    </xf>
    <xf numFmtId="0" fontId="3" fillId="3" borderId="0" xfId="0" applyFont="1" applyFill="1" applyAlignment="1" applyProtection="1">
      <alignment horizontal="centerContinuous"/>
    </xf>
    <xf numFmtId="37" fontId="3" fillId="3" borderId="0" xfId="0" applyNumberFormat="1" applyFont="1" applyFill="1" applyAlignment="1" applyProtection="1">
      <alignment horizontal="fill"/>
    </xf>
    <xf numFmtId="37" fontId="3" fillId="3" borderId="4" xfId="0" applyNumberFormat="1" applyFont="1" applyFill="1" applyBorder="1" applyAlignment="1" applyProtection="1">
      <alignment horizontal="centerContinuous"/>
    </xf>
    <xf numFmtId="0" fontId="3" fillId="3" borderId="5" xfId="0" applyFont="1" applyFill="1" applyBorder="1" applyAlignment="1" applyProtection="1">
      <alignment horizontal="centerContinuous"/>
    </xf>
    <xf numFmtId="0" fontId="3" fillId="3" borderId="6" xfId="0" applyFont="1" applyFill="1" applyBorder="1" applyAlignment="1" applyProtection="1">
      <alignment horizontal="centerContinuous"/>
    </xf>
    <xf numFmtId="37" fontId="3" fillId="3" borderId="7" xfId="0" applyNumberFormat="1" applyFont="1" applyFill="1" applyBorder="1" applyAlignment="1" applyProtection="1">
      <alignment horizontal="center"/>
    </xf>
    <xf numFmtId="37" fontId="3" fillId="3" borderId="1" xfId="0" applyNumberFormat="1" applyFont="1" applyFill="1" applyBorder="1" applyAlignment="1" applyProtection="1">
      <alignment horizontal="left"/>
    </xf>
    <xf numFmtId="37" fontId="3" fillId="3" borderId="2" xfId="0" applyNumberFormat="1" applyFont="1" applyFill="1" applyBorder="1" applyAlignment="1" applyProtection="1">
      <alignment horizontal="left"/>
    </xf>
    <xf numFmtId="37" fontId="3" fillId="3" borderId="2" xfId="0" applyNumberFormat="1" applyFont="1" applyFill="1" applyBorder="1" applyProtection="1"/>
    <xf numFmtId="37" fontId="3" fillId="3" borderId="0" xfId="0" applyNumberFormat="1" applyFont="1" applyFill="1" applyProtection="1"/>
    <xf numFmtId="0" fontId="3" fillId="3" borderId="0" xfId="0" applyFont="1" applyFill="1"/>
    <xf numFmtId="0" fontId="3" fillId="3" borderId="8" xfId="0" applyFont="1" applyFill="1" applyBorder="1" applyAlignment="1" applyProtection="1">
      <alignment horizontal="center"/>
    </xf>
    <xf numFmtId="0" fontId="3" fillId="3" borderId="0" xfId="0" applyFont="1" applyFill="1" applyAlignment="1" applyProtection="1">
      <alignment horizontal="center"/>
    </xf>
    <xf numFmtId="37" fontId="3" fillId="3" borderId="0" xfId="0" quotePrefix="1" applyNumberFormat="1" applyFont="1" applyFill="1" applyAlignment="1" applyProtection="1">
      <alignment horizontal="right"/>
    </xf>
    <xf numFmtId="37" fontId="4" fillId="3" borderId="0" xfId="0" applyNumberFormat="1" applyFont="1" applyFill="1" applyAlignment="1" applyProtection="1">
      <alignment horizontal="centerContinuous"/>
    </xf>
    <xf numFmtId="0" fontId="3" fillId="3" borderId="7" xfId="0" applyFont="1" applyFill="1" applyBorder="1" applyAlignment="1" applyProtection="1">
      <alignment horizontal="centerContinuous"/>
    </xf>
    <xf numFmtId="1" fontId="3" fillId="3" borderId="4" xfId="0" applyNumberFormat="1" applyFont="1" applyFill="1" applyBorder="1" applyAlignment="1" applyProtection="1">
      <alignment horizontal="centerContinuous"/>
    </xf>
    <xf numFmtId="164" fontId="3" fillId="3" borderId="2" xfId="0" applyNumberFormat="1" applyFont="1" applyFill="1" applyBorder="1" applyProtection="1"/>
    <xf numFmtId="0" fontId="11" fillId="0" borderId="0" xfId="0" applyFont="1" applyAlignment="1">
      <alignment horizontal="center" vertical="top"/>
    </xf>
    <xf numFmtId="0" fontId="0" fillId="0" borderId="0" xfId="0" applyAlignment="1">
      <alignment vertical="top"/>
    </xf>
    <xf numFmtId="0" fontId="11" fillId="0" borderId="0" xfId="0" applyFont="1" applyAlignment="1">
      <alignment vertical="top"/>
    </xf>
    <xf numFmtId="0" fontId="9" fillId="0" borderId="0" xfId="341" applyAlignment="1">
      <alignment vertical="top"/>
    </xf>
    <xf numFmtId="0" fontId="9" fillId="0" borderId="0" xfId="341"/>
    <xf numFmtId="0" fontId="12" fillId="0" borderId="0" xfId="0" applyFont="1" applyAlignment="1">
      <alignment vertical="top"/>
    </xf>
    <xf numFmtId="0" fontId="7" fillId="0" borderId="0" xfId="0" applyFont="1" applyAlignment="1">
      <alignment horizontal="center" vertical="top"/>
    </xf>
    <xf numFmtId="0" fontId="11" fillId="0" borderId="0" xfId="0" applyFont="1" applyAlignment="1">
      <alignment horizontal="left" vertical="top"/>
    </xf>
    <xf numFmtId="0" fontId="7" fillId="0" borderId="0" xfId="0" applyFont="1" applyAlignment="1">
      <alignment horizontal="left" vertical="top"/>
    </xf>
    <xf numFmtId="0" fontId="7" fillId="0" borderId="0" xfId="0" applyFont="1" applyAlignment="1">
      <alignment vertical="top"/>
    </xf>
    <xf numFmtId="0" fontId="13" fillId="0" borderId="0" xfId="0" applyFont="1" applyAlignment="1"/>
    <xf numFmtId="0" fontId="13" fillId="0" borderId="0" xfId="0" applyNumberFormat="1" applyFont="1" applyAlignment="1"/>
    <xf numFmtId="0" fontId="7" fillId="0" borderId="0" xfId="0" applyFont="1" applyAlignment="1"/>
    <xf numFmtId="0" fontId="7" fillId="0" borderId="0" xfId="0" applyFont="1"/>
    <xf numFmtId="0" fontId="14" fillId="0" borderId="0" xfId="0" applyFont="1"/>
    <xf numFmtId="0" fontId="3" fillId="3" borderId="0" xfId="0" applyNumberFormat="1" applyFont="1" applyFill="1" applyAlignment="1" applyProtection="1">
      <alignment horizontal="right"/>
    </xf>
    <xf numFmtId="37" fontId="3" fillId="3" borderId="0" xfId="0" applyNumberFormat="1" applyFont="1" applyFill="1" applyBorder="1" applyAlignment="1" applyProtection="1">
      <alignment horizontal="left"/>
    </xf>
    <xf numFmtId="0" fontId="3" fillId="3" borderId="0" xfId="0" applyFont="1" applyFill="1" applyAlignment="1">
      <alignment horizontal="center"/>
    </xf>
    <xf numFmtId="0" fontId="3" fillId="0" borderId="0" xfId="0" applyFont="1" applyAlignment="1">
      <alignment vertical="top"/>
    </xf>
    <xf numFmtId="0" fontId="3" fillId="0" borderId="0" xfId="341" applyFont="1" applyAlignment="1">
      <alignment vertical="top"/>
    </xf>
    <xf numFmtId="0" fontId="18" fillId="0" borderId="0" xfId="0" applyNumberFormat="1" applyFont="1" applyAlignment="1">
      <alignment vertical="top"/>
    </xf>
    <xf numFmtId="0" fontId="18" fillId="0" borderId="0" xfId="0" applyFont="1" applyAlignment="1"/>
    <xf numFmtId="0" fontId="3" fillId="0" borderId="0" xfId="341" applyFont="1"/>
    <xf numFmtId="164" fontId="3" fillId="3" borderId="2" xfId="0" applyNumberFormat="1" applyFont="1" applyFill="1" applyBorder="1" applyProtection="1">
      <protection locked="0"/>
    </xf>
    <xf numFmtId="0" fontId="3" fillId="0" borderId="0" xfId="0" applyFont="1" applyAlignment="1">
      <alignment horizontal="right"/>
    </xf>
    <xf numFmtId="166" fontId="3" fillId="3" borderId="0" xfId="0" applyNumberFormat="1" applyFont="1" applyFill="1" applyAlignment="1" applyProtection="1">
      <alignment horizontal="center"/>
    </xf>
    <xf numFmtId="37" fontId="3" fillId="3" borderId="1" xfId="0" applyNumberFormat="1" applyFont="1" applyFill="1" applyBorder="1" applyAlignment="1" applyProtection="1">
      <alignment horizontal="center"/>
    </xf>
    <xf numFmtId="37" fontId="3" fillId="3" borderId="0" xfId="0" applyNumberFormat="1" applyFont="1" applyFill="1" applyBorder="1" applyAlignment="1" applyProtection="1">
      <alignment horizontal="center"/>
    </xf>
    <xf numFmtId="165" fontId="3" fillId="4" borderId="1" xfId="0" applyNumberFormat="1" applyFont="1" applyFill="1" applyBorder="1" applyAlignment="1" applyProtection="1">
      <alignment horizontal="center"/>
    </xf>
    <xf numFmtId="165" fontId="3" fillId="3" borderId="0" xfId="0" applyNumberFormat="1" applyFont="1" applyFill="1" applyBorder="1" applyAlignment="1" applyProtection="1">
      <alignment horizontal="center"/>
    </xf>
    <xf numFmtId="0" fontId="3" fillId="3" borderId="0" xfId="0" applyFont="1" applyFill="1" applyAlignment="1">
      <alignment horizontal="left"/>
    </xf>
    <xf numFmtId="37" fontId="4" fillId="3" borderId="0" xfId="0" applyNumberFormat="1" applyFont="1" applyFill="1" applyAlignment="1" applyProtection="1">
      <alignment horizontal="center"/>
    </xf>
    <xf numFmtId="0" fontId="0" fillId="3" borderId="0" xfId="0" applyFill="1"/>
    <xf numFmtId="0" fontId="0" fillId="3" borderId="0" xfId="0" applyFill="1" applyAlignment="1"/>
    <xf numFmtId="171" fontId="3" fillId="3" borderId="0" xfId="0" applyNumberFormat="1" applyFont="1" applyFill="1" applyBorder="1" applyAlignment="1" applyProtection="1">
      <alignment horizontal="center"/>
    </xf>
    <xf numFmtId="0" fontId="4" fillId="0" borderId="0" xfId="0" applyFont="1" applyAlignment="1">
      <alignment horizontal="center" vertical="center"/>
    </xf>
    <xf numFmtId="0" fontId="3" fillId="0" borderId="0" xfId="0" applyFont="1" applyAlignment="1">
      <alignment vertical="center"/>
    </xf>
    <xf numFmtId="0" fontId="3" fillId="0" borderId="0" xfId="0" applyFont="1" applyAlignment="1" applyProtection="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pplyProtection="1">
      <alignment vertical="center" wrapText="1"/>
    </xf>
    <xf numFmtId="0" fontId="26" fillId="0" borderId="0" xfId="0" applyFont="1" applyAlignment="1">
      <alignment vertical="center" wrapText="1"/>
    </xf>
    <xf numFmtId="0" fontId="3" fillId="2" borderId="0" xfId="0" applyFont="1" applyFill="1" applyAlignment="1" applyProtection="1">
      <alignment vertical="center" wrapText="1"/>
    </xf>
    <xf numFmtId="0" fontId="3" fillId="0" borderId="0" xfId="0" applyFont="1" applyFill="1" applyAlignment="1" applyProtection="1">
      <alignment vertical="center" wrapText="1"/>
    </xf>
    <xf numFmtId="0" fontId="3" fillId="3" borderId="0" xfId="0" applyFont="1" applyFill="1" applyAlignment="1">
      <alignment vertical="center" wrapText="1"/>
    </xf>
    <xf numFmtId="0" fontId="3" fillId="5" borderId="0" xfId="0" applyFont="1" applyFill="1" applyAlignment="1">
      <alignment vertical="center" wrapText="1"/>
    </xf>
    <xf numFmtId="0" fontId="3" fillId="6" borderId="0" xfId="0" applyFont="1" applyFill="1" applyAlignment="1">
      <alignment vertical="center"/>
    </xf>
    <xf numFmtId="37" fontId="3" fillId="0" borderId="0" xfId="0" applyNumberFormat="1" applyFont="1" applyFill="1" applyAlignment="1" applyProtection="1">
      <alignment horizontal="left" vertical="center" wrapText="1"/>
    </xf>
    <xf numFmtId="37" fontId="3" fillId="3" borderId="0" xfId="0" applyNumberFormat="1" applyFont="1" applyFill="1" applyAlignment="1" applyProtection="1">
      <alignment horizontal="left" vertical="center"/>
    </xf>
    <xf numFmtId="0" fontId="3" fillId="3" borderId="0" xfId="0" applyFont="1" applyFill="1" applyAlignment="1" applyProtection="1">
      <alignment vertical="center"/>
    </xf>
    <xf numFmtId="0" fontId="3" fillId="2" borderId="1" xfId="0" applyFont="1" applyFill="1" applyBorder="1" applyAlignment="1" applyProtection="1">
      <alignment vertical="center"/>
    </xf>
    <xf numFmtId="37" fontId="3" fillId="2" borderId="1" xfId="0" applyNumberFormat="1" applyFont="1" applyFill="1" applyBorder="1" applyAlignment="1" applyProtection="1">
      <alignment horizontal="lef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5" borderId="0" xfId="0" applyNumberFormat="1" applyFont="1" applyFill="1" applyAlignment="1" applyProtection="1">
      <alignment horizontal="left" vertical="center"/>
    </xf>
    <xf numFmtId="0" fontId="3" fillId="3" borderId="0" xfId="0" applyFont="1" applyFill="1" applyAlignment="1" applyProtection="1">
      <alignment horizontal="center" vertical="center"/>
    </xf>
    <xf numFmtId="0" fontId="3" fillId="5" borderId="7" xfId="0" applyFont="1" applyFill="1" applyBorder="1" applyAlignment="1" applyProtection="1">
      <alignment horizontal="center" vertical="center"/>
    </xf>
    <xf numFmtId="37" fontId="3" fillId="5" borderId="7" xfId="0" applyNumberFormat="1" applyFont="1" applyFill="1" applyBorder="1" applyAlignment="1" applyProtection="1">
      <alignment horizontal="center" vertical="center"/>
    </xf>
    <xf numFmtId="0" fontId="3" fillId="5" borderId="7" xfId="0" applyNumberFormat="1" applyFont="1" applyFill="1" applyBorder="1" applyAlignment="1" applyProtection="1">
      <alignment horizontal="center" vertical="center"/>
    </xf>
    <xf numFmtId="37" fontId="3" fillId="3" borderId="0" xfId="0" applyNumberFormat="1" applyFont="1" applyFill="1" applyAlignment="1" applyProtection="1">
      <alignment horizontal="center" vertical="center"/>
    </xf>
    <xf numFmtId="37" fontId="3" fillId="5" borderId="8"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left" vertical="center"/>
    </xf>
    <xf numFmtId="0" fontId="3" fillId="3" borderId="2" xfId="0" applyFont="1" applyFill="1" applyBorder="1" applyAlignment="1" applyProtection="1">
      <alignment vertical="center"/>
      <protection locked="0"/>
    </xf>
    <xf numFmtId="3" fontId="3" fillId="2" borderId="2" xfId="0" applyNumberFormat="1" applyFont="1" applyFill="1" applyBorder="1" applyAlignment="1" applyProtection="1">
      <alignment vertical="center"/>
      <protection locked="0"/>
    </xf>
    <xf numFmtId="3" fontId="3" fillId="7" borderId="2" xfId="0" applyNumberFormat="1" applyFont="1" applyFill="1" applyBorder="1" applyAlignment="1" applyProtection="1">
      <alignment vertical="center" wrapText="1"/>
      <protection locked="0"/>
    </xf>
    <xf numFmtId="164" fontId="3" fillId="7" borderId="2" xfId="0" applyNumberFormat="1" applyFont="1" applyFill="1" applyBorder="1" applyAlignment="1" applyProtection="1">
      <alignment vertical="center"/>
      <protection locked="0"/>
    </xf>
    <xf numFmtId="0" fontId="3" fillId="3" borderId="2" xfId="0" applyFont="1" applyFill="1" applyBorder="1" applyAlignment="1" applyProtection="1">
      <alignment vertical="center"/>
    </xf>
    <xf numFmtId="164" fontId="3" fillId="2" borderId="2" xfId="0" applyNumberFormat="1" applyFont="1" applyFill="1" applyBorder="1" applyAlignment="1" applyProtection="1">
      <alignment vertical="center"/>
      <protection locked="0"/>
    </xf>
    <xf numFmtId="0" fontId="3" fillId="7" borderId="2" xfId="0" applyFont="1" applyFill="1" applyBorder="1" applyAlignment="1" applyProtection="1">
      <alignment horizontal="left" vertical="center"/>
      <protection locked="0"/>
    </xf>
    <xf numFmtId="0" fontId="3" fillId="2" borderId="2" xfId="0" applyFont="1" applyFill="1" applyBorder="1" applyAlignment="1" applyProtection="1">
      <alignment vertical="center"/>
      <protection locked="0"/>
    </xf>
    <xf numFmtId="3" fontId="3" fillId="7" borderId="2" xfId="0" applyNumberFormat="1" applyFont="1" applyFill="1" applyBorder="1" applyAlignment="1" applyProtection="1">
      <alignment vertical="center"/>
      <protection locked="0"/>
    </xf>
    <xf numFmtId="37" fontId="3" fillId="3" borderId="1" xfId="0" applyNumberFormat="1" applyFont="1" applyFill="1" applyBorder="1" applyAlignment="1" applyProtection="1">
      <alignment horizontal="left" vertical="center"/>
    </xf>
    <xf numFmtId="0" fontId="3" fillId="3" borderId="1" xfId="0" applyFont="1" applyFill="1" applyBorder="1" applyAlignment="1" applyProtection="1">
      <alignment vertical="center"/>
    </xf>
    <xf numFmtId="0" fontId="3" fillId="3" borderId="6" xfId="0" applyFont="1" applyFill="1" applyBorder="1" applyAlignment="1" applyProtection="1">
      <alignment vertical="center"/>
    </xf>
    <xf numFmtId="3" fontId="3" fillId="4" borderId="6" xfId="0" applyNumberFormat="1" applyFont="1" applyFill="1" applyBorder="1" applyAlignment="1" applyProtection="1">
      <alignment vertical="center"/>
    </xf>
    <xf numFmtId="164" fontId="3" fillId="4" borderId="2" xfId="0" applyNumberFormat="1" applyFont="1" applyFill="1" applyBorder="1" applyAlignment="1" applyProtection="1">
      <alignment vertical="center"/>
    </xf>
    <xf numFmtId="164" fontId="3" fillId="3" borderId="1" xfId="0" applyNumberFormat="1" applyFont="1" applyFill="1" applyBorder="1" applyAlignment="1" applyProtection="1">
      <alignment vertical="center"/>
      <protection locked="0"/>
    </xf>
    <xf numFmtId="0" fontId="3" fillId="3" borderId="9" xfId="0" applyFont="1" applyFill="1" applyBorder="1" applyAlignment="1" applyProtection="1">
      <alignment vertical="center"/>
    </xf>
    <xf numFmtId="3" fontId="3" fillId="4" borderId="2" xfId="0" applyNumberFormat="1" applyFont="1" applyFill="1" applyBorder="1" applyAlignment="1" applyProtection="1">
      <alignment vertical="center"/>
    </xf>
    <xf numFmtId="37" fontId="3" fillId="3" borderId="0" xfId="0" applyNumberFormat="1" applyFont="1" applyFill="1" applyBorder="1" applyAlignment="1" applyProtection="1">
      <alignment horizontal="left" vertical="center"/>
    </xf>
    <xf numFmtId="164" fontId="3" fillId="3" borderId="0" xfId="0" applyNumberFormat="1" applyFont="1" applyFill="1" applyBorder="1" applyAlignment="1" applyProtection="1">
      <alignment vertical="center"/>
      <protection locked="0"/>
    </xf>
    <xf numFmtId="3" fontId="3" fillId="3" borderId="0" xfId="0" applyNumberFormat="1" applyFont="1" applyFill="1" applyBorder="1" applyAlignment="1" applyProtection="1">
      <alignment vertical="center"/>
    </xf>
    <xf numFmtId="37" fontId="4" fillId="8" borderId="0" xfId="0" applyNumberFormat="1" applyFont="1" applyFill="1" applyAlignment="1" applyProtection="1">
      <alignment horizontal="left" vertical="center"/>
    </xf>
    <xf numFmtId="0" fontId="3" fillId="3" borderId="0" xfId="0" applyFont="1" applyFill="1" applyAlignment="1">
      <alignment vertical="center"/>
    </xf>
    <xf numFmtId="0" fontId="3" fillId="8" borderId="0" xfId="0" applyFont="1" applyFill="1" applyAlignment="1" applyProtection="1">
      <alignment vertical="center"/>
    </xf>
    <xf numFmtId="37" fontId="3" fillId="3" borderId="2" xfId="0" applyNumberFormat="1" applyFont="1" applyFill="1" applyBorder="1" applyAlignment="1" applyProtection="1">
      <alignment vertical="center"/>
    </xf>
    <xf numFmtId="37" fontId="3" fillId="5" borderId="1" xfId="0" applyNumberFormat="1" applyFont="1" applyFill="1" applyBorder="1" applyAlignment="1" applyProtection="1">
      <alignment horizontal="left" vertical="center"/>
    </xf>
    <xf numFmtId="0" fontId="3" fillId="5" borderId="1" xfId="0" applyFont="1" applyFill="1" applyBorder="1" applyAlignment="1" applyProtection="1">
      <alignment vertical="center"/>
    </xf>
    <xf numFmtId="37" fontId="3" fillId="5" borderId="5" xfId="0" applyNumberFormat="1" applyFont="1" applyFill="1" applyBorder="1" applyAlignment="1" applyProtection="1">
      <alignment horizontal="left" vertical="center"/>
    </xf>
    <xf numFmtId="0" fontId="3" fillId="5" borderId="5" xfId="0" applyFont="1" applyFill="1" applyBorder="1" applyAlignment="1" applyProtection="1">
      <alignment vertical="center"/>
    </xf>
    <xf numFmtId="0" fontId="3" fillId="3" borderId="5" xfId="0" applyFont="1" applyFill="1" applyBorder="1" applyAlignment="1" applyProtection="1">
      <alignment vertical="center"/>
    </xf>
    <xf numFmtId="3" fontId="3" fillId="3" borderId="0" xfId="0" applyNumberFormat="1" applyFont="1" applyFill="1" applyBorder="1" applyAlignment="1" applyProtection="1">
      <alignment vertical="center"/>
      <protection locked="0"/>
    </xf>
    <xf numFmtId="37" fontId="20" fillId="8" borderId="0" xfId="0" applyNumberFormat="1" applyFont="1" applyFill="1" applyAlignment="1" applyProtection="1">
      <alignment horizontal="left" vertical="center"/>
    </xf>
    <xf numFmtId="0" fontId="5" fillId="5" borderId="0" xfId="0" applyFont="1" applyFill="1" applyAlignment="1">
      <alignment vertical="center"/>
    </xf>
    <xf numFmtId="0" fontId="3" fillId="8" borderId="0" xfId="0" applyFont="1" applyFill="1" applyAlignment="1" applyProtection="1">
      <alignment vertical="center"/>
      <protection locked="0"/>
    </xf>
    <xf numFmtId="0" fontId="3" fillId="3" borderId="0" xfId="0" applyFont="1" applyFill="1" applyAlignment="1" applyProtection="1">
      <alignment vertical="center"/>
      <protection locked="0"/>
    </xf>
    <xf numFmtId="0" fontId="3" fillId="3"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protection locked="0"/>
    </xf>
    <xf numFmtId="0" fontId="3" fillId="8" borderId="1"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8" borderId="5" xfId="0" applyFont="1" applyFill="1" applyBorder="1" applyAlignment="1" applyProtection="1">
      <alignment vertical="center"/>
      <protection locked="0"/>
    </xf>
    <xf numFmtId="0" fontId="3" fillId="0" borderId="0" xfId="0" applyFont="1" applyAlignment="1" applyProtection="1">
      <alignment vertical="center"/>
      <protection locked="0"/>
    </xf>
    <xf numFmtId="37" fontId="3" fillId="3" borderId="0" xfId="0" applyNumberFormat="1" applyFont="1" applyFill="1" applyAlignment="1">
      <alignment vertical="center"/>
    </xf>
    <xf numFmtId="3" fontId="3" fillId="3" borderId="0" xfId="0" applyNumberFormat="1" applyFont="1" applyFill="1" applyAlignment="1" applyProtection="1">
      <alignment vertical="center"/>
    </xf>
    <xf numFmtId="37" fontId="3" fillId="3" borderId="5" xfId="0" applyNumberFormat="1" applyFont="1" applyFill="1" applyBorder="1" applyAlignment="1" applyProtection="1">
      <alignment horizontal="left" vertical="center"/>
    </xf>
    <xf numFmtId="37" fontId="3" fillId="2" borderId="2" xfId="0" applyNumberFormat="1" applyFont="1" applyFill="1" applyBorder="1" applyAlignment="1" applyProtection="1">
      <alignment vertical="center"/>
      <protection locked="0"/>
    </xf>
    <xf numFmtId="37" fontId="3" fillId="3" borderId="4" xfId="0" applyNumberFormat="1" applyFont="1" applyFill="1" applyBorder="1" applyAlignment="1" applyProtection="1">
      <alignment horizontal="left" vertical="center"/>
    </xf>
    <xf numFmtId="3" fontId="3" fillId="3" borderId="9" xfId="0" applyNumberFormat="1" applyFont="1" applyFill="1" applyBorder="1" applyAlignment="1" applyProtection="1">
      <alignment vertical="center"/>
    </xf>
    <xf numFmtId="3" fontId="3" fillId="3" borderId="6" xfId="0" applyNumberFormat="1" applyFont="1" applyFill="1" applyBorder="1" applyAlignment="1" applyProtection="1">
      <alignment vertical="center"/>
    </xf>
    <xf numFmtId="3" fontId="3" fillId="3" borderId="5" xfId="0" applyNumberFormat="1" applyFont="1" applyFill="1" applyBorder="1" applyAlignment="1" applyProtection="1">
      <alignment vertical="center"/>
    </xf>
    <xf numFmtId="0" fontId="4" fillId="3" borderId="0" xfId="0" applyFont="1" applyFill="1" applyAlignment="1" applyProtection="1">
      <alignment vertical="center"/>
    </xf>
    <xf numFmtId="37" fontId="3" fillId="3" borderId="1" xfId="0" applyNumberFormat="1" applyFont="1" applyFill="1" applyBorder="1" applyAlignment="1" applyProtection="1">
      <alignment vertical="center"/>
    </xf>
    <xf numFmtId="0" fontId="0" fillId="3" borderId="0" xfId="0" applyFill="1" applyAlignment="1">
      <alignment vertical="center"/>
    </xf>
    <xf numFmtId="0" fontId="3" fillId="5" borderId="7" xfId="0" applyFont="1" applyFill="1" applyBorder="1" applyAlignment="1">
      <alignment horizontal="center" vertical="center"/>
    </xf>
    <xf numFmtId="0" fontId="3" fillId="5" borderId="3" xfId="0" applyFont="1" applyFill="1" applyBorder="1" applyAlignment="1">
      <alignment horizontal="center" vertical="center"/>
    </xf>
    <xf numFmtId="0" fontId="21" fillId="3" borderId="0" xfId="0" applyFont="1" applyFill="1" applyAlignment="1">
      <alignment vertical="center"/>
    </xf>
    <xf numFmtId="0" fontId="27" fillId="3" borderId="0" xfId="0" applyFont="1" applyFill="1" applyAlignment="1">
      <alignment vertical="center"/>
    </xf>
    <xf numFmtId="0" fontId="3" fillId="5" borderId="8" xfId="0" applyFont="1" applyFill="1" applyBorder="1" applyAlignment="1">
      <alignment horizontal="center" vertical="center"/>
    </xf>
    <xf numFmtId="37" fontId="3" fillId="3" borderId="8" xfId="0" applyNumberFormat="1" applyFont="1" applyFill="1" applyBorder="1" applyAlignment="1">
      <alignment vertical="center"/>
    </xf>
    <xf numFmtId="3" fontId="3" fillId="2" borderId="8" xfId="0" applyNumberFormat="1" applyFont="1" applyFill="1" applyBorder="1" applyAlignment="1" applyProtection="1">
      <alignment vertical="center"/>
      <protection locked="0"/>
    </xf>
    <xf numFmtId="0" fontId="15" fillId="3" borderId="0" xfId="0" applyFont="1" applyFill="1" applyAlignment="1">
      <alignment vertical="center"/>
    </xf>
    <xf numFmtId="0" fontId="15" fillId="0" borderId="0" xfId="0" applyFont="1" applyAlignment="1">
      <alignment vertical="center"/>
    </xf>
    <xf numFmtId="0" fontId="15" fillId="3" borderId="0" xfId="0" applyFont="1" applyFill="1" applyAlignment="1" applyProtection="1">
      <alignment vertical="center"/>
    </xf>
    <xf numFmtId="0" fontId="0" fillId="0" borderId="0" xfId="0" applyAlignment="1">
      <alignment vertical="center"/>
    </xf>
    <xf numFmtId="37" fontId="15" fillId="3" borderId="0" xfId="0" applyNumberFormat="1" applyFont="1" applyFill="1" applyAlignment="1" applyProtection="1">
      <alignment horizontal="centerContinuous" vertical="center"/>
    </xf>
    <xf numFmtId="0" fontId="15" fillId="3" borderId="0" xfId="0" applyFont="1" applyFill="1" applyAlignment="1" applyProtection="1">
      <alignment horizontal="centerContinuous" vertical="center"/>
    </xf>
    <xf numFmtId="37" fontId="15" fillId="3" borderId="0" xfId="0" applyNumberFormat="1" applyFont="1" applyFill="1" applyAlignment="1" applyProtection="1">
      <alignment horizontal="left" vertical="center"/>
    </xf>
    <xf numFmtId="37" fontId="15" fillId="3" borderId="0" xfId="0" applyNumberFormat="1" applyFont="1" applyFill="1" applyAlignment="1" applyProtection="1">
      <alignment horizontal="fill" vertical="center"/>
    </xf>
    <xf numFmtId="37" fontId="15" fillId="3" borderId="4" xfId="0" applyNumberFormat="1" applyFont="1" applyFill="1" applyBorder="1" applyAlignment="1" applyProtection="1">
      <alignment horizontal="centerContinuous" vertical="center"/>
    </xf>
    <xf numFmtId="0" fontId="15" fillId="3" borderId="5" xfId="0" applyFont="1" applyFill="1" applyBorder="1" applyAlignment="1" applyProtection="1">
      <alignment horizontal="centerContinuous" vertical="center"/>
    </xf>
    <xf numFmtId="0" fontId="15" fillId="3" borderId="6" xfId="0" applyFont="1" applyFill="1" applyBorder="1" applyAlignment="1" applyProtection="1">
      <alignment horizontal="centerContinuous" vertical="center"/>
    </xf>
    <xf numFmtId="37" fontId="15" fillId="3" borderId="7" xfId="0" applyNumberFormat="1" applyFont="1" applyFill="1" applyBorder="1" applyAlignment="1" applyProtection="1">
      <alignment horizontal="center" vertical="center"/>
    </xf>
    <xf numFmtId="37" fontId="16" fillId="3" borderId="1" xfId="0" applyNumberFormat="1" applyFont="1" applyFill="1" applyBorder="1" applyAlignment="1" applyProtection="1">
      <alignment horizontal="left" vertical="center"/>
    </xf>
    <xf numFmtId="0" fontId="15" fillId="3" borderId="1" xfId="0" applyFont="1" applyFill="1" applyBorder="1" applyAlignment="1" applyProtection="1">
      <alignment vertical="center"/>
    </xf>
    <xf numFmtId="37" fontId="15" fillId="3" borderId="8" xfId="0" applyNumberFormat="1" applyFont="1" applyFill="1" applyBorder="1" applyAlignment="1" applyProtection="1">
      <alignment horizontal="center" vertical="center"/>
    </xf>
    <xf numFmtId="37" fontId="15" fillId="3" borderId="2" xfId="0" applyNumberFormat="1" applyFont="1" applyFill="1" applyBorder="1" applyAlignment="1" applyProtection="1">
      <alignment horizontal="left" vertical="center"/>
    </xf>
    <xf numFmtId="37" fontId="15" fillId="3" borderId="3" xfId="0" applyNumberFormat="1" applyFont="1" applyFill="1" applyBorder="1" applyAlignment="1" applyProtection="1">
      <alignment horizontal="center" vertical="center"/>
    </xf>
    <xf numFmtId="0" fontId="15" fillId="3" borderId="0" xfId="0" applyFont="1" applyFill="1" applyBorder="1" applyAlignment="1" applyProtection="1">
      <alignment vertical="center"/>
    </xf>
    <xf numFmtId="37" fontId="15" fillId="3" borderId="4" xfId="0" applyNumberFormat="1" applyFont="1" applyFill="1" applyBorder="1" applyAlignment="1" applyProtection="1">
      <alignment horizontal="left" vertical="center"/>
    </xf>
    <xf numFmtId="0" fontId="15" fillId="3" borderId="6" xfId="0" applyFont="1" applyFill="1" applyBorder="1" applyAlignment="1" applyProtection="1">
      <alignment vertical="center"/>
    </xf>
    <xf numFmtId="37" fontId="15" fillId="3" borderId="9" xfId="0" applyNumberFormat="1" applyFont="1" applyFill="1" applyBorder="1" applyAlignment="1" applyProtection="1">
      <alignment horizontal="center" vertical="center"/>
    </xf>
    <xf numFmtId="37" fontId="15" fillId="3" borderId="2" xfId="0" applyNumberFormat="1" applyFont="1" applyFill="1" applyBorder="1" applyAlignment="1" applyProtection="1">
      <alignment horizontal="center" vertical="center"/>
    </xf>
    <xf numFmtId="0" fontId="15" fillId="3" borderId="3" xfId="0" applyFont="1" applyFill="1" applyBorder="1" applyAlignment="1" applyProtection="1">
      <alignment vertical="center"/>
    </xf>
    <xf numFmtId="37" fontId="15" fillId="3" borderId="6" xfId="0" applyNumberFormat="1" applyFont="1" applyFill="1" applyBorder="1" applyAlignment="1" applyProtection="1">
      <alignment horizontal="center" vertical="center"/>
    </xf>
    <xf numFmtId="37" fontId="25" fillId="3" borderId="8" xfId="0" applyNumberFormat="1" applyFont="1" applyFill="1" applyBorder="1" applyAlignment="1" applyProtection="1">
      <alignment horizontal="left" vertical="center"/>
    </xf>
    <xf numFmtId="37" fontId="25" fillId="3" borderId="8" xfId="0" applyNumberFormat="1" applyFont="1" applyFill="1" applyBorder="1" applyAlignment="1" applyProtection="1">
      <alignment horizontal="center" vertical="center"/>
    </xf>
    <xf numFmtId="0" fontId="15" fillId="3" borderId="2" xfId="0" applyFont="1" applyFill="1" applyBorder="1" applyAlignment="1" applyProtection="1">
      <alignment vertical="center"/>
    </xf>
    <xf numFmtId="0" fontId="15" fillId="3" borderId="8" xfId="0" applyFont="1" applyFill="1" applyBorder="1" applyAlignment="1" applyProtection="1">
      <alignment vertical="center"/>
    </xf>
    <xf numFmtId="37" fontId="15" fillId="3" borderId="4" xfId="0" applyNumberFormat="1" applyFont="1" applyFill="1" applyBorder="1" applyAlignment="1" applyProtection="1">
      <alignment horizontal="center" vertical="center"/>
    </xf>
    <xf numFmtId="37" fontId="15" fillId="3" borderId="2" xfId="0" applyNumberFormat="1" applyFont="1" applyFill="1" applyBorder="1" applyAlignment="1" applyProtection="1">
      <alignment vertical="center"/>
    </xf>
    <xf numFmtId="172" fontId="3" fillId="3" borderId="2" xfId="0" applyNumberFormat="1" applyFont="1" applyFill="1" applyBorder="1" applyAlignment="1" applyProtection="1">
      <alignment vertical="center"/>
    </xf>
    <xf numFmtId="37" fontId="3" fillId="3" borderId="2" xfId="0" applyNumberFormat="1" applyFont="1" applyFill="1" applyBorder="1" applyAlignment="1" applyProtection="1">
      <alignment horizontal="center" vertical="center"/>
    </xf>
    <xf numFmtId="0" fontId="15" fillId="3" borderId="2" xfId="0" applyFont="1" applyFill="1" applyBorder="1" applyAlignment="1" applyProtection="1">
      <alignment horizontal="center" vertical="center"/>
    </xf>
    <xf numFmtId="0" fontId="15" fillId="3" borderId="7" xfId="0" applyFont="1" applyFill="1" applyBorder="1" applyAlignment="1" applyProtection="1">
      <alignment vertical="center"/>
    </xf>
    <xf numFmtId="37" fontId="16" fillId="3" borderId="7" xfId="0" applyNumberFormat="1" applyFont="1" applyFill="1" applyBorder="1" applyAlignment="1" applyProtection="1">
      <alignment horizontal="left" vertical="center"/>
    </xf>
    <xf numFmtId="37" fontId="15" fillId="3" borderId="10" xfId="0" applyNumberFormat="1" applyFont="1" applyFill="1" applyBorder="1" applyAlignment="1" applyProtection="1">
      <alignment horizontal="left" vertical="center"/>
    </xf>
    <xf numFmtId="0" fontId="15" fillId="3" borderId="11" xfId="0" applyFont="1" applyFill="1" applyBorder="1" applyAlignment="1" applyProtection="1">
      <alignment vertical="center"/>
    </xf>
    <xf numFmtId="37" fontId="15" fillId="3" borderId="0" xfId="0" applyNumberFormat="1" applyFont="1" applyFill="1" applyBorder="1" applyAlignment="1" applyProtection="1">
      <alignment vertical="center"/>
    </xf>
    <xf numFmtId="0" fontId="15" fillId="3" borderId="0" xfId="0" applyFont="1" applyFill="1" applyAlignment="1" applyProtection="1">
      <alignment horizontal="center" vertical="center"/>
    </xf>
    <xf numFmtId="0" fontId="3" fillId="9" borderId="2" xfId="0" applyFont="1" applyFill="1" applyBorder="1" applyAlignment="1">
      <alignment horizontal="center" vertical="center" shrinkToFit="1"/>
    </xf>
    <xf numFmtId="0" fontId="21" fillId="9" borderId="6" xfId="0" applyFont="1" applyFill="1" applyBorder="1" applyAlignment="1" applyProtection="1">
      <alignment horizontal="center" vertical="center"/>
    </xf>
    <xf numFmtId="3" fontId="15" fillId="2" borderId="2" xfId="0" applyNumberFormat="1" applyFont="1" applyFill="1" applyBorder="1" applyAlignment="1" applyProtection="1">
      <alignment vertical="center"/>
      <protection locked="0"/>
    </xf>
    <xf numFmtId="37" fontId="15" fillId="3" borderId="6" xfId="0" applyNumberFormat="1" applyFont="1" applyFill="1" applyBorder="1" applyAlignment="1" applyProtection="1">
      <alignment horizontal="fill" vertical="center"/>
    </xf>
    <xf numFmtId="37" fontId="15" fillId="3" borderId="0" xfId="0" applyNumberFormat="1" applyFont="1" applyFill="1" applyAlignment="1" applyProtection="1">
      <alignment horizontal="right" vertical="center"/>
    </xf>
    <xf numFmtId="0" fontId="15" fillId="2" borderId="1" xfId="0" applyFont="1" applyFill="1" applyBorder="1" applyAlignment="1" applyProtection="1">
      <alignment vertical="center"/>
      <protection locked="0"/>
    </xf>
    <xf numFmtId="0" fontId="15" fillId="2" borderId="5" xfId="0" applyFont="1" applyFill="1" applyBorder="1" applyAlignment="1" applyProtection="1">
      <alignment vertical="center"/>
      <protection locked="0"/>
    </xf>
    <xf numFmtId="0" fontId="15" fillId="3" borderId="0" xfId="0" applyFont="1" applyFill="1" applyAlignment="1" applyProtection="1">
      <alignment horizontal="right" vertical="center"/>
    </xf>
    <xf numFmtId="0" fontId="15" fillId="3" borderId="0" xfId="0" applyFont="1" applyFill="1" applyAlignment="1" applyProtection="1">
      <alignment horizontal="left" vertical="center"/>
    </xf>
    <xf numFmtId="0" fontId="15" fillId="0" borderId="0" xfId="0" applyFont="1" applyAlignment="1" applyProtection="1">
      <alignment vertical="center"/>
      <protection locked="0"/>
    </xf>
    <xf numFmtId="37" fontId="3" fillId="3" borderId="0" xfId="0" applyNumberFormat="1" applyFont="1" applyFill="1" applyAlignment="1" applyProtection="1">
      <alignment horizontal="centerContinuous" vertical="center"/>
    </xf>
    <xf numFmtId="37" fontId="3" fillId="3" borderId="4" xfId="0" applyNumberFormat="1" applyFont="1" applyFill="1" applyBorder="1" applyAlignment="1" applyProtection="1">
      <alignment horizontal="centerContinuous" vertical="center"/>
    </xf>
    <xf numFmtId="0" fontId="3" fillId="3" borderId="5" xfId="0" applyFont="1" applyFill="1" applyBorder="1" applyAlignment="1" applyProtection="1">
      <alignment horizontal="centerContinuous" vertical="center"/>
    </xf>
    <xf numFmtId="0" fontId="3" fillId="3" borderId="6" xfId="0" applyFont="1" applyFill="1" applyBorder="1" applyAlignment="1" applyProtection="1">
      <alignment horizontal="centerContinuous" vertical="center"/>
    </xf>
    <xf numFmtId="37" fontId="3" fillId="3" borderId="7" xfId="0" applyNumberFormat="1" applyFont="1" applyFill="1" applyBorder="1" applyAlignment="1" applyProtection="1">
      <alignment horizontal="center" vertical="center"/>
    </xf>
    <xf numFmtId="37" fontId="4" fillId="3" borderId="1" xfId="0" applyNumberFormat="1" applyFont="1" applyFill="1" applyBorder="1" applyAlignment="1" applyProtection="1">
      <alignment horizontal="left" vertical="center"/>
    </xf>
    <xf numFmtId="37" fontId="3" fillId="3" borderId="8" xfId="0" applyNumberFormat="1" applyFont="1" applyFill="1" applyBorder="1" applyAlignment="1" applyProtection="1">
      <alignment horizontal="center" vertical="center"/>
    </xf>
    <xf numFmtId="37" fontId="5" fillId="3" borderId="2" xfId="0" applyNumberFormat="1" applyFont="1" applyFill="1" applyBorder="1" applyAlignment="1" applyProtection="1">
      <alignment horizontal="left" vertical="center"/>
    </xf>
    <xf numFmtId="37" fontId="5" fillId="3" borderId="2" xfId="0" applyNumberFormat="1" applyFont="1" applyFill="1" applyBorder="1" applyAlignment="1" applyProtection="1">
      <alignment horizontal="center" vertical="center"/>
    </xf>
    <xf numFmtId="37" fontId="3" fillId="3" borderId="2" xfId="0" applyNumberFormat="1" applyFont="1" applyFill="1" applyBorder="1" applyAlignment="1" applyProtection="1">
      <alignment horizontal="fill" vertical="center"/>
    </xf>
    <xf numFmtId="37" fontId="3" fillId="4" borderId="12" xfId="0" applyNumberFormat="1" applyFont="1" applyFill="1" applyBorder="1" applyAlignment="1" applyProtection="1">
      <alignment vertical="center"/>
    </xf>
    <xf numFmtId="172" fontId="3" fillId="4" borderId="12" xfId="0" applyNumberFormat="1" applyFont="1" applyFill="1" applyBorder="1" applyAlignment="1" applyProtection="1">
      <alignment vertical="center"/>
    </xf>
    <xf numFmtId="37" fontId="3" fillId="3" borderId="0" xfId="0" applyNumberFormat="1" applyFont="1" applyFill="1" applyBorder="1" applyAlignment="1" applyProtection="1">
      <alignment vertical="center"/>
    </xf>
    <xf numFmtId="37" fontId="3" fillId="0" borderId="0" xfId="0" applyNumberFormat="1" applyFont="1" applyAlignment="1" applyProtection="1">
      <alignment horizontal="left" vertical="center"/>
      <protection locked="0"/>
    </xf>
    <xf numFmtId="0" fontId="3" fillId="0" borderId="0" xfId="0" applyFont="1" applyAlignment="1" applyProtection="1">
      <alignment horizontal="center" vertical="center"/>
      <protection locked="0"/>
    </xf>
    <xf numFmtId="37" fontId="3" fillId="0" borderId="0" xfId="0" applyNumberFormat="1" applyFont="1" applyAlignment="1" applyProtection="1">
      <alignment horizontal="fill" vertical="center"/>
      <protection locked="0"/>
    </xf>
    <xf numFmtId="37" fontId="3" fillId="3" borderId="0" xfId="0" applyNumberFormat="1" applyFont="1" applyFill="1" applyAlignment="1" applyProtection="1">
      <alignment vertical="center"/>
    </xf>
    <xf numFmtId="0" fontId="4" fillId="3" borderId="0" xfId="0" applyFont="1" applyFill="1" applyAlignment="1" applyProtection="1">
      <alignment horizontal="center"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3" borderId="1" xfId="0" applyNumberFormat="1" applyFont="1" applyFill="1" applyBorder="1" applyAlignment="1" applyProtection="1">
      <alignment vertical="center"/>
    </xf>
    <xf numFmtId="3" fontId="3" fillId="3" borderId="13" xfId="0" applyNumberFormat="1" applyFont="1" applyFill="1" applyBorder="1" applyAlignment="1" applyProtection="1">
      <alignment vertical="center"/>
    </xf>
    <xf numFmtId="0" fontId="3" fillId="3" borderId="13" xfId="0" applyFont="1" applyFill="1" applyBorder="1" applyAlignment="1" applyProtection="1">
      <alignment vertical="center"/>
    </xf>
    <xf numFmtId="167" fontId="3" fillId="3" borderId="1"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4" xfId="0" applyNumberFormat="1" applyFont="1" applyFill="1" applyBorder="1" applyAlignment="1" applyProtection="1">
      <alignment vertical="center"/>
    </xf>
    <xf numFmtId="0" fontId="6" fillId="0" borderId="0" xfId="0" applyFont="1" applyAlignment="1">
      <alignment vertical="center"/>
    </xf>
    <xf numFmtId="37" fontId="3" fillId="3" borderId="0" xfId="0" applyNumberFormat="1" applyFont="1" applyFill="1" applyAlignment="1" applyProtection="1">
      <alignment horizontal="right" vertical="center"/>
    </xf>
    <xf numFmtId="0" fontId="4" fillId="3" borderId="1"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15"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17"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2" borderId="8" xfId="0" applyFont="1" applyFill="1" applyBorder="1" applyAlignment="1" applyProtection="1">
      <alignment vertical="center"/>
      <protection locked="0"/>
    </xf>
    <xf numFmtId="170" fontId="3" fillId="2" borderId="8" xfId="1" applyNumberFormat="1" applyFont="1" applyFill="1" applyBorder="1" applyAlignment="1" applyProtection="1">
      <alignment vertical="center"/>
      <protection locked="0"/>
    </xf>
    <xf numFmtId="170" fontId="3" fillId="2" borderId="2" xfId="1" applyNumberFormat="1" applyFont="1" applyFill="1" applyBorder="1" applyAlignment="1" applyProtection="1">
      <alignment vertical="center"/>
      <protection locked="0"/>
    </xf>
    <xf numFmtId="0" fontId="3" fillId="3" borderId="2" xfId="0" applyFont="1" applyFill="1" applyBorder="1" applyAlignment="1" applyProtection="1">
      <alignment horizontal="center" vertical="center"/>
    </xf>
    <xf numFmtId="0" fontId="3" fillId="3" borderId="2" xfId="0" applyFont="1" applyFill="1" applyBorder="1" applyAlignment="1" applyProtection="1">
      <alignment horizontal="center" vertical="center"/>
      <protection locked="0"/>
    </xf>
    <xf numFmtId="1" fontId="3" fillId="3" borderId="0" xfId="0" applyNumberFormat="1" applyFont="1" applyFill="1" applyBorder="1" applyAlignment="1" applyProtection="1">
      <alignment horizontal="right" vertical="center"/>
    </xf>
    <xf numFmtId="0" fontId="4" fillId="3" borderId="0" xfId="340" applyFont="1" applyFill="1" applyAlignment="1" applyProtection="1">
      <alignment horizontal="centerContinuous" vertical="center"/>
    </xf>
    <xf numFmtId="0" fontId="3" fillId="3" borderId="1" xfId="0" applyFont="1" applyFill="1" applyBorder="1" applyAlignment="1" applyProtection="1">
      <alignment horizontal="fill" vertical="center"/>
    </xf>
    <xf numFmtId="0" fontId="3" fillId="3" borderId="7" xfId="0" applyFont="1" applyFill="1" applyBorder="1" applyAlignment="1" applyProtection="1">
      <alignment horizontal="center" vertical="center"/>
    </xf>
    <xf numFmtId="0" fontId="3" fillId="3" borderId="10" xfId="0" applyFont="1" applyFill="1" applyBorder="1" applyAlignment="1" applyProtection="1">
      <alignment horizontal="centerContinuous" vertical="center"/>
    </xf>
    <xf numFmtId="0" fontId="3" fillId="3" borderId="11" xfId="0" applyFont="1" applyFill="1" applyBorder="1" applyAlignment="1" applyProtection="1">
      <alignment horizontal="centerContinuous" vertical="center"/>
    </xf>
    <xf numFmtId="0" fontId="3" fillId="3" borderId="3" xfId="0" applyFont="1" applyFill="1" applyBorder="1" applyAlignment="1" applyProtection="1">
      <alignment horizontal="center" vertical="center"/>
    </xf>
    <xf numFmtId="1" fontId="3" fillId="3" borderId="18" xfId="0" applyNumberFormat="1" applyFont="1" applyFill="1" applyBorder="1" applyAlignment="1" applyProtection="1">
      <alignment horizontal="center" vertical="center"/>
    </xf>
    <xf numFmtId="0" fontId="3" fillId="3" borderId="2" xfId="0" applyFont="1" applyFill="1" applyBorder="1" applyAlignment="1" applyProtection="1">
      <alignment horizontal="left" vertical="center"/>
    </xf>
    <xf numFmtId="0" fontId="3" fillId="3" borderId="8" xfId="0" applyFont="1" applyFill="1" applyBorder="1" applyAlignment="1" applyProtection="1">
      <alignment horizontal="center" vertical="center"/>
    </xf>
    <xf numFmtId="2" fontId="3" fillId="3" borderId="2" xfId="0" applyNumberFormat="1" applyFont="1" applyFill="1" applyBorder="1" applyAlignment="1" applyProtection="1">
      <alignment vertical="center"/>
    </xf>
    <xf numFmtId="3" fontId="3" fillId="3" borderId="2" xfId="0" applyNumberFormat="1" applyFont="1" applyFill="1" applyBorder="1" applyAlignment="1" applyProtection="1">
      <alignment vertical="center"/>
    </xf>
    <xf numFmtId="0" fontId="3" fillId="7" borderId="2" xfId="0" applyFont="1" applyFill="1" applyBorder="1" applyAlignment="1" applyProtection="1">
      <alignment horizontal="center" vertical="center"/>
      <protection locked="0"/>
    </xf>
    <xf numFmtId="2" fontId="3" fillId="7" borderId="2" xfId="0" applyNumberFormat="1" applyFont="1" applyFill="1" applyBorder="1" applyAlignment="1" applyProtection="1">
      <alignment horizontal="center" vertical="center"/>
      <protection locked="0"/>
    </xf>
    <xf numFmtId="3" fontId="3" fillId="7" borderId="2" xfId="0" applyNumberFormat="1" applyFont="1" applyFill="1" applyBorder="1" applyAlignment="1" applyProtection="1">
      <alignment horizontal="center" vertical="center"/>
      <protection locked="0"/>
    </xf>
    <xf numFmtId="37" fontId="3" fillId="7" borderId="2" xfId="0" applyNumberFormat="1" applyFont="1" applyFill="1" applyBorder="1" applyAlignment="1" applyProtection="1">
      <alignment horizontal="center" vertical="center"/>
      <protection locked="0"/>
    </xf>
    <xf numFmtId="169" fontId="3" fillId="7"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xf>
    <xf numFmtId="168" fontId="4" fillId="3" borderId="2" xfId="0" applyNumberFormat="1" applyFont="1" applyFill="1" applyBorder="1" applyAlignment="1" applyProtection="1">
      <alignment horizontal="center" vertical="center"/>
    </xf>
    <xf numFmtId="2" fontId="4" fillId="3" borderId="2" xfId="0" applyNumberFormat="1" applyFont="1" applyFill="1" applyBorder="1" applyAlignment="1" applyProtection="1">
      <alignment horizontal="center" vertical="center"/>
    </xf>
    <xf numFmtId="3" fontId="4" fillId="3" borderId="2" xfId="0" applyNumberFormat="1" applyFont="1" applyFill="1" applyBorder="1" applyAlignment="1" applyProtection="1">
      <alignment horizontal="center" vertical="center"/>
    </xf>
    <xf numFmtId="37" fontId="4" fillId="4" borderId="2" xfId="0" applyNumberFormat="1" applyFont="1" applyFill="1" applyBorder="1" applyAlignment="1" applyProtection="1">
      <alignment horizontal="center" vertical="center"/>
    </xf>
    <xf numFmtId="169" fontId="4" fillId="3" borderId="2" xfId="0" applyNumberFormat="1" applyFont="1" applyFill="1" applyBorder="1" applyAlignment="1" applyProtection="1">
      <alignment horizontal="center" vertical="center"/>
    </xf>
    <xf numFmtId="168" fontId="3" fillId="3" borderId="2" xfId="0" applyNumberFormat="1" applyFont="1" applyFill="1" applyBorder="1" applyAlignment="1" applyProtection="1">
      <alignment horizontal="center" vertical="center"/>
    </xf>
    <xf numFmtId="2" fontId="3" fillId="3" borderId="2" xfId="0" applyNumberFormat="1" applyFont="1" applyFill="1" applyBorder="1" applyAlignment="1" applyProtection="1">
      <alignment horizontal="center" vertical="center"/>
    </xf>
    <xf numFmtId="3" fontId="3" fillId="3" borderId="2" xfId="0" applyNumberFormat="1" applyFont="1" applyFill="1" applyBorder="1" applyAlignment="1" applyProtection="1">
      <alignment horizontal="center" vertical="center"/>
    </xf>
    <xf numFmtId="169" fontId="3" fillId="3" borderId="2" xfId="0" applyNumberFormat="1" applyFont="1" applyFill="1" applyBorder="1" applyAlignment="1" applyProtection="1">
      <alignment horizontal="center" vertical="center"/>
    </xf>
    <xf numFmtId="1" fontId="4" fillId="3" borderId="2" xfId="0" applyNumberFormat="1" applyFont="1" applyFill="1" applyBorder="1" applyAlignment="1" applyProtection="1">
      <alignment horizontal="center" vertical="center"/>
    </xf>
    <xf numFmtId="3" fontId="4" fillId="4" borderId="2" xfId="0" applyNumberFormat="1" applyFont="1" applyFill="1" applyBorder="1" applyAlignment="1" applyProtection="1">
      <alignment horizontal="center" vertical="center"/>
    </xf>
    <xf numFmtId="1" fontId="3" fillId="3" borderId="2" xfId="0" applyNumberFormat="1" applyFont="1" applyFill="1" applyBorder="1" applyAlignment="1" applyProtection="1">
      <alignment horizontal="center" vertical="center"/>
    </xf>
    <xf numFmtId="37" fontId="3" fillId="0" borderId="0" xfId="0" applyNumberFormat="1" applyFont="1" applyAlignment="1" applyProtection="1">
      <alignment vertical="center"/>
      <protection locked="0"/>
    </xf>
    <xf numFmtId="0" fontId="3" fillId="0" borderId="0" xfId="0" applyFont="1" applyAlignment="1" applyProtection="1">
      <alignment horizontal="left" vertical="center"/>
      <protection locked="0"/>
    </xf>
    <xf numFmtId="0" fontId="3" fillId="3" borderId="0" xfId="0" applyNumberFormat="1" applyFont="1" applyFill="1" applyAlignment="1" applyProtection="1">
      <alignment horizontal="right" vertical="center"/>
    </xf>
    <xf numFmtId="0" fontId="3" fillId="3" borderId="0" xfId="0" applyFont="1" applyFill="1" applyAlignment="1" applyProtection="1">
      <alignment horizontal="right" vertical="center"/>
    </xf>
    <xf numFmtId="0" fontId="3" fillId="3" borderId="19" xfId="0" applyFont="1" applyFill="1" applyBorder="1" applyAlignment="1" applyProtection="1">
      <alignment vertical="center"/>
    </xf>
    <xf numFmtId="0" fontId="3" fillId="3" borderId="7" xfId="0" applyFont="1" applyFill="1" applyBorder="1" applyAlignment="1" applyProtection="1">
      <alignment vertical="center"/>
    </xf>
    <xf numFmtId="0" fontId="3" fillId="3" borderId="18" xfId="0" applyFont="1" applyFill="1" applyBorder="1" applyAlignment="1" applyProtection="1">
      <alignment horizontal="left" vertical="center"/>
    </xf>
    <xf numFmtId="0" fontId="7" fillId="3" borderId="8" xfId="0" applyFont="1" applyFill="1" applyBorder="1" applyAlignment="1" applyProtection="1">
      <alignment horizontal="center" vertical="center"/>
    </xf>
    <xf numFmtId="14" fontId="3" fillId="3" borderId="8" xfId="0" quotePrefix="1" applyNumberFormat="1" applyFont="1" applyFill="1" applyBorder="1" applyAlignment="1" applyProtection="1">
      <alignment horizontal="center" vertical="center"/>
    </xf>
    <xf numFmtId="0" fontId="3" fillId="7" borderId="2" xfId="0" applyFont="1" applyFill="1" applyBorder="1" applyAlignment="1" applyProtection="1">
      <alignment vertical="center"/>
      <protection locked="0"/>
    </xf>
    <xf numFmtId="1" fontId="3" fillId="7" borderId="2" xfId="0" applyNumberFormat="1" applyFont="1" applyFill="1" applyBorder="1" applyAlignment="1" applyProtection="1">
      <alignment vertical="center"/>
      <protection locked="0"/>
    </xf>
    <xf numFmtId="2" fontId="3" fillId="7" borderId="2" xfId="0" applyNumberFormat="1" applyFont="1" applyFill="1" applyBorder="1" applyAlignment="1" applyProtection="1">
      <alignment vertical="center"/>
      <protection locked="0"/>
    </xf>
    <xf numFmtId="3" fontId="4" fillId="4" borderId="12" xfId="0" applyNumberFormat="1" applyFont="1" applyFill="1" applyBorder="1" applyAlignment="1" applyProtection="1">
      <alignment vertical="center"/>
    </xf>
    <xf numFmtId="0" fontId="3" fillId="0" borderId="0" xfId="0" applyFont="1" applyBorder="1" applyAlignment="1">
      <alignment vertical="center"/>
    </xf>
    <xf numFmtId="0" fontId="3" fillId="6" borderId="0" xfId="339" applyFont="1" applyFill="1" applyAlignment="1" applyProtection="1">
      <alignment vertical="center"/>
    </xf>
    <xf numFmtId="0" fontId="3" fillId="6" borderId="0" xfId="0" applyFont="1" applyFill="1" applyAlignment="1" applyProtection="1">
      <alignment vertical="center"/>
    </xf>
    <xf numFmtId="0" fontId="3" fillId="3" borderId="0" xfId="0" quotePrefix="1" applyFont="1" applyFill="1" applyAlignment="1" applyProtection="1">
      <alignment horizontal="right" vertical="center"/>
    </xf>
    <xf numFmtId="0" fontId="3" fillId="3" borderId="0" xfId="0" applyFont="1" applyFill="1" applyAlignment="1" applyProtection="1">
      <alignment horizontal="left" vertical="center"/>
    </xf>
    <xf numFmtId="1" fontId="3" fillId="3" borderId="8" xfId="0" applyNumberFormat="1" applyFont="1" applyFill="1" applyBorder="1" applyAlignment="1" applyProtection="1">
      <alignment horizontal="center" vertical="center"/>
    </xf>
    <xf numFmtId="0" fontId="3" fillId="3" borderId="4" xfId="0" applyFont="1" applyFill="1" applyBorder="1" applyAlignment="1" applyProtection="1">
      <alignment horizontal="left" vertical="center"/>
    </xf>
    <xf numFmtId="3" fontId="3" fillId="7" borderId="6" xfId="0" applyNumberFormat="1" applyFont="1" applyFill="1" applyBorder="1" applyAlignment="1" applyProtection="1">
      <alignment vertical="center"/>
      <protection locked="0"/>
    </xf>
    <xf numFmtId="37" fontId="3" fillId="3" borderId="4" xfId="0" applyNumberFormat="1" applyFont="1" applyFill="1" applyBorder="1" applyAlignment="1" applyProtection="1">
      <alignment vertical="center"/>
    </xf>
    <xf numFmtId="37" fontId="3" fillId="7" borderId="2" xfId="0" applyNumberFormat="1" applyFont="1" applyFill="1" applyBorder="1" applyAlignment="1" applyProtection="1">
      <alignment vertical="center"/>
      <protection locked="0"/>
    </xf>
    <xf numFmtId="37" fontId="3" fillId="7" borderId="4" xfId="0" applyNumberFormat="1" applyFont="1" applyFill="1" applyBorder="1" applyAlignment="1" applyProtection="1">
      <alignment vertical="center"/>
      <protection locked="0"/>
    </xf>
    <xf numFmtId="0" fontId="3" fillId="7" borderId="4" xfId="0" applyFont="1" applyFill="1" applyBorder="1" applyAlignment="1" applyProtection="1">
      <alignment horizontal="left" vertical="center"/>
      <protection locked="0"/>
    </xf>
    <xf numFmtId="0" fontId="3" fillId="3" borderId="4" xfId="0" applyFont="1" applyFill="1" applyBorder="1" applyAlignment="1" applyProtection="1">
      <alignment vertical="center"/>
    </xf>
    <xf numFmtId="3" fontId="21" fillId="10" borderId="11"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horizontal="left" vertical="center"/>
    </xf>
    <xf numFmtId="37" fontId="4" fillId="4" borderId="2" xfId="0" applyNumberFormat="1" applyFont="1" applyFill="1" applyBorder="1" applyAlignment="1" applyProtection="1">
      <alignment vertical="center"/>
    </xf>
    <xf numFmtId="0" fontId="4" fillId="3" borderId="0" xfId="0" applyFont="1" applyFill="1" applyAlignment="1" applyProtection="1">
      <alignment horizontal="left" vertical="center"/>
    </xf>
    <xf numFmtId="0" fontId="3" fillId="3" borderId="0" xfId="0" applyFont="1" applyFill="1" applyAlignment="1" applyProtection="1">
      <alignment horizontal="fill" vertical="center"/>
    </xf>
    <xf numFmtId="0" fontId="3" fillId="3" borderId="8" xfId="0" applyNumberFormat="1" applyFont="1" applyFill="1" applyBorder="1" applyAlignment="1" applyProtection="1">
      <alignment horizontal="center" vertical="center"/>
    </xf>
    <xf numFmtId="37" fontId="4" fillId="3" borderId="4" xfId="0" applyNumberFormat="1" applyFont="1" applyFill="1" applyBorder="1" applyAlignment="1" applyProtection="1">
      <alignment vertical="center"/>
    </xf>
    <xf numFmtId="37" fontId="3" fillId="9" borderId="2" xfId="0" applyNumberFormat="1" applyFont="1" applyFill="1" applyBorder="1" applyAlignment="1" applyProtection="1">
      <alignment vertical="center"/>
    </xf>
    <xf numFmtId="0" fontId="3" fillId="7" borderId="4" xfId="0" applyFont="1" applyFill="1" applyBorder="1" applyAlignment="1" applyProtection="1">
      <alignment vertical="center"/>
      <protection locked="0"/>
    </xf>
    <xf numFmtId="37" fontId="3" fillId="4" borderId="2" xfId="0" applyNumberFormat="1" applyFont="1" applyFill="1" applyBorder="1" applyAlignment="1" applyProtection="1">
      <alignment vertical="center"/>
    </xf>
    <xf numFmtId="0" fontId="21" fillId="0" borderId="0" xfId="0" applyFont="1" applyAlignment="1">
      <alignment vertical="center"/>
    </xf>
    <xf numFmtId="0" fontId="22" fillId="3" borderId="0" xfId="0" applyFont="1" applyFill="1" applyAlignment="1" applyProtection="1">
      <alignment horizontal="center" vertical="center"/>
    </xf>
    <xf numFmtId="0" fontId="3" fillId="3" borderId="0" xfId="0" applyFont="1" applyFill="1" applyAlignment="1">
      <alignment horizontal="right" vertical="center"/>
    </xf>
    <xf numFmtId="1" fontId="3" fillId="3" borderId="7" xfId="0" applyNumberFormat="1" applyFont="1" applyFill="1" applyBorder="1" applyAlignment="1" applyProtection="1">
      <alignment horizontal="center" vertical="center"/>
    </xf>
    <xf numFmtId="0" fontId="3" fillId="2" borderId="2" xfId="0" applyFont="1" applyFill="1" applyBorder="1" applyAlignment="1" applyProtection="1">
      <alignment horizontal="left" vertical="center"/>
      <protection locked="0"/>
    </xf>
    <xf numFmtId="37" fontId="3" fillId="4" borderId="7" xfId="0" applyNumberFormat="1" applyFont="1" applyFill="1" applyBorder="1" applyAlignment="1" applyProtection="1">
      <alignment vertical="center"/>
    </xf>
    <xf numFmtId="0" fontId="3" fillId="3" borderId="0" xfId="0" applyNumberFormat="1" applyFont="1" applyFill="1" applyAlignment="1" applyProtection="1">
      <alignment vertical="center"/>
    </xf>
    <xf numFmtId="37" fontId="3" fillId="3" borderId="0" xfId="0" applyNumberFormat="1" applyFont="1" applyFill="1" applyAlignment="1" applyProtection="1">
      <alignment horizontal="fill" vertical="center"/>
    </xf>
    <xf numFmtId="0" fontId="3" fillId="4" borderId="0" xfId="0" applyFont="1" applyFill="1" applyAlignment="1" applyProtection="1">
      <alignment horizontal="left" vertical="center"/>
    </xf>
    <xf numFmtId="37" fontId="4" fillId="9" borderId="12" xfId="0" applyNumberFormat="1" applyFont="1" applyFill="1" applyBorder="1" applyAlignment="1" applyProtection="1">
      <alignment vertical="center"/>
    </xf>
    <xf numFmtId="0" fontId="21" fillId="6" borderId="0" xfId="0" applyFont="1" applyFill="1" applyAlignment="1">
      <alignment vertical="center"/>
    </xf>
    <xf numFmtId="37" fontId="3" fillId="6" borderId="0" xfId="0" applyNumberFormat="1" applyFont="1" applyFill="1" applyAlignment="1">
      <alignment vertical="center"/>
    </xf>
    <xf numFmtId="37" fontId="3" fillId="0" borderId="0" xfId="0" applyNumberFormat="1" applyFont="1" applyAlignment="1">
      <alignment vertical="center"/>
    </xf>
    <xf numFmtId="166" fontId="3" fillId="3" borderId="0" xfId="0" applyNumberFormat="1" applyFont="1" applyFill="1" applyAlignment="1" applyProtection="1">
      <alignment vertical="center"/>
    </xf>
    <xf numFmtId="37" fontId="3" fillId="3" borderId="0" xfId="0" quotePrefix="1" applyNumberFormat="1" applyFont="1" applyFill="1" applyAlignment="1" applyProtection="1">
      <alignment horizontal="right" vertical="center"/>
    </xf>
    <xf numFmtId="3" fontId="3" fillId="3" borderId="2" xfId="1" applyNumberFormat="1" applyFont="1" applyFill="1" applyBorder="1" applyAlignment="1" applyProtection="1">
      <alignment horizontal="right" vertical="center"/>
    </xf>
    <xf numFmtId="37" fontId="3" fillId="3" borderId="18" xfId="0" applyNumberFormat="1" applyFont="1" applyFill="1" applyBorder="1" applyAlignment="1" applyProtection="1">
      <alignment horizontal="left" vertical="center"/>
    </xf>
    <xf numFmtId="3" fontId="3" fillId="3" borderId="2" xfId="0" applyNumberFormat="1" applyFont="1" applyFill="1" applyBorder="1" applyAlignment="1" applyProtection="1">
      <alignment horizontal="fill" vertical="center"/>
    </xf>
    <xf numFmtId="3" fontId="3" fillId="7" borderId="2" xfId="0" applyNumberFormat="1" applyFont="1" applyFill="1" applyBorder="1" applyAlignment="1" applyProtection="1">
      <alignment horizontal="right" vertical="center"/>
      <protection locked="0"/>
    </xf>
    <xf numFmtId="3" fontId="3" fillId="3" borderId="2" xfId="0" applyNumberFormat="1" applyFont="1" applyFill="1" applyBorder="1" applyAlignment="1" applyProtection="1">
      <alignment horizontal="right" vertical="center"/>
    </xf>
    <xf numFmtId="0" fontId="3" fillId="3" borderId="4" xfId="0" applyNumberFormat="1" applyFont="1" applyFill="1" applyBorder="1" applyAlignment="1" applyProtection="1">
      <alignment horizontal="left" vertical="center"/>
    </xf>
    <xf numFmtId="0" fontId="3" fillId="7" borderId="4" xfId="0" applyNumberFormat="1" applyFont="1" applyFill="1" applyBorder="1" applyAlignment="1" applyProtection="1">
      <alignment horizontal="left" vertical="center"/>
      <protection locked="0"/>
    </xf>
    <xf numFmtId="3" fontId="3" fillId="2" borderId="2" xfId="0" applyNumberFormat="1" applyFont="1" applyFill="1" applyBorder="1" applyAlignment="1" applyProtection="1">
      <alignment horizontal="right" vertical="center"/>
      <protection locked="0"/>
    </xf>
    <xf numFmtId="0" fontId="3" fillId="7" borderId="10" xfId="0" applyNumberFormat="1" applyFont="1" applyFill="1" applyBorder="1" applyAlignment="1" applyProtection="1">
      <alignment horizontal="left" vertical="center"/>
      <protection locked="0"/>
    </xf>
    <xf numFmtId="3" fontId="21" fillId="10" borderId="2" xfId="0" applyNumberFormat="1" applyFont="1" applyFill="1" applyBorder="1" applyAlignment="1" applyProtection="1">
      <alignment horizontal="center" vertical="center"/>
    </xf>
    <xf numFmtId="3" fontId="4" fillId="4" borderId="8" xfId="0" applyNumberFormat="1" applyFont="1" applyFill="1" applyBorder="1" applyAlignment="1" applyProtection="1">
      <alignment horizontal="right" vertical="center"/>
    </xf>
    <xf numFmtId="3" fontId="4" fillId="4" borderId="2" xfId="0" applyNumberFormat="1" applyFont="1" applyFill="1" applyBorder="1" applyAlignment="1" applyProtection="1">
      <alignment horizontal="right" vertical="center"/>
    </xf>
    <xf numFmtId="0" fontId="21" fillId="0" borderId="0" xfId="0" applyFont="1" applyAlignment="1" applyProtection="1">
      <alignment vertical="center"/>
    </xf>
    <xf numFmtId="3" fontId="3" fillId="9" borderId="2" xfId="0" applyNumberFormat="1" applyFont="1" applyFill="1" applyBorder="1" applyAlignment="1" applyProtection="1">
      <alignment vertical="center"/>
    </xf>
    <xf numFmtId="0" fontId="3" fillId="2" borderId="0" xfId="0" applyFont="1" applyFill="1" applyAlignment="1" applyProtection="1">
      <alignment horizontal="left" vertical="center"/>
      <protection locked="0"/>
    </xf>
    <xf numFmtId="0" fontId="3" fillId="2" borderId="4" xfId="0" applyFont="1" applyFill="1" applyBorder="1" applyAlignment="1" applyProtection="1">
      <alignment horizontal="left" vertical="center"/>
    </xf>
    <xf numFmtId="0" fontId="3" fillId="2" borderId="4" xfId="0" applyFont="1" applyFill="1" applyBorder="1" applyAlignment="1">
      <alignment vertical="center"/>
    </xf>
    <xf numFmtId="3" fontId="4" fillId="4" borderId="2" xfId="0" applyNumberFormat="1" applyFont="1" applyFill="1" applyBorder="1" applyAlignment="1" applyProtection="1">
      <alignment vertical="center"/>
    </xf>
    <xf numFmtId="0" fontId="3" fillId="3" borderId="0" xfId="0" applyFont="1" applyFill="1" applyAlignment="1" applyProtection="1">
      <alignment horizontal="center" vertical="center"/>
      <protection locked="0"/>
    </xf>
    <xf numFmtId="37" fontId="3" fillId="2" borderId="4" xfId="0" applyNumberFormat="1" applyFont="1" applyFill="1" applyBorder="1" applyAlignment="1" applyProtection="1">
      <alignment vertical="center"/>
    </xf>
    <xf numFmtId="0" fontId="21" fillId="6" borderId="0" xfId="0" applyFont="1" applyFill="1" applyAlignment="1" applyProtection="1">
      <alignment vertical="center"/>
    </xf>
    <xf numFmtId="37" fontId="3" fillId="6" borderId="0" xfId="0" applyNumberFormat="1" applyFont="1" applyFill="1" applyAlignment="1" applyProtection="1">
      <alignment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8" fillId="3" borderId="0" xfId="0" applyFont="1" applyFill="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vertical="center"/>
    </xf>
    <xf numFmtId="0" fontId="19" fillId="3" borderId="7" xfId="0" applyFont="1" applyFill="1" applyBorder="1" applyAlignment="1">
      <alignment vertical="center"/>
    </xf>
    <xf numFmtId="0" fontId="19" fillId="3" borderId="6" xfId="0" applyFont="1" applyFill="1" applyBorder="1" applyAlignment="1">
      <alignment horizontal="center" vertical="center"/>
    </xf>
    <xf numFmtId="0" fontId="19" fillId="3" borderId="11" xfId="0" applyFont="1" applyFill="1" applyBorder="1" applyAlignment="1">
      <alignment vertical="center"/>
    </xf>
    <xf numFmtId="0" fontId="19" fillId="3" borderId="2" xfId="0" applyFont="1" applyFill="1" applyBorder="1" applyAlignment="1">
      <alignment horizontal="center" vertical="center"/>
    </xf>
    <xf numFmtId="0" fontId="3" fillId="3" borderId="6" xfId="0" applyFont="1" applyFill="1" applyBorder="1" applyAlignment="1">
      <alignment vertical="center"/>
    </xf>
    <xf numFmtId="0" fontId="3" fillId="3" borderId="2" xfId="0" applyFont="1" applyFill="1" applyBorder="1" applyAlignment="1">
      <alignment horizontal="center" vertical="center"/>
    </xf>
    <xf numFmtId="0" fontId="19" fillId="3" borderId="18" xfId="0" applyFont="1" applyFill="1" applyBorder="1" applyAlignment="1">
      <alignment vertical="center"/>
    </xf>
    <xf numFmtId="3" fontId="19" fillId="2" borderId="2" xfId="0" applyNumberFormat="1" applyFont="1" applyFill="1" applyBorder="1" applyAlignment="1" applyProtection="1">
      <alignment horizontal="center" vertical="center"/>
      <protection locked="0"/>
    </xf>
    <xf numFmtId="0" fontId="19" fillId="3" borderId="1" xfId="0" applyFont="1" applyFill="1" applyBorder="1" applyAlignment="1">
      <alignment vertical="center"/>
    </xf>
    <xf numFmtId="3" fontId="19" fillId="4" borderId="2" xfId="0" applyNumberFormat="1" applyFont="1" applyFill="1" applyBorder="1" applyAlignment="1">
      <alignment horizontal="center" vertical="center"/>
    </xf>
    <xf numFmtId="0" fontId="19" fillId="3" borderId="0" xfId="0" applyFont="1" applyFill="1" applyAlignment="1">
      <alignment vertical="center"/>
    </xf>
    <xf numFmtId="3" fontId="19" fillId="3" borderId="0" xfId="0" applyNumberFormat="1" applyFont="1" applyFill="1" applyAlignment="1">
      <alignment horizontal="center" vertical="center"/>
    </xf>
    <xf numFmtId="0" fontId="19" fillId="3" borderId="0" xfId="0" applyFont="1" applyFill="1" applyAlignment="1">
      <alignment horizontal="center" vertical="center"/>
    </xf>
    <xf numFmtId="0" fontId="19" fillId="2" borderId="2" xfId="0" applyFont="1" applyFill="1" applyBorder="1" applyAlignment="1" applyProtection="1">
      <alignment vertical="center"/>
      <protection locked="0"/>
    </xf>
    <xf numFmtId="0" fontId="19" fillId="2" borderId="11" xfId="0" applyFont="1" applyFill="1" applyBorder="1" applyAlignment="1" applyProtection="1">
      <alignment vertical="center"/>
      <protection locked="0"/>
    </xf>
    <xf numFmtId="0" fontId="19" fillId="2" borderId="0" xfId="0" applyFont="1" applyFill="1" applyAlignment="1" applyProtection="1">
      <alignment vertical="center"/>
      <protection locked="0"/>
    </xf>
    <xf numFmtId="0" fontId="19" fillId="2" borderId="6" xfId="0" applyFont="1" applyFill="1" applyBorder="1" applyAlignment="1" applyProtection="1">
      <alignment vertical="center"/>
      <protection locked="0"/>
    </xf>
    <xf numFmtId="0" fontId="19" fillId="2" borderId="8" xfId="0" applyFont="1" applyFill="1" applyBorder="1" applyAlignment="1" applyProtection="1">
      <alignment vertical="center"/>
      <protection locked="0"/>
    </xf>
    <xf numFmtId="0" fontId="19" fillId="2" borderId="15" xfId="0" applyFont="1" applyFill="1" applyBorder="1" applyAlignment="1" applyProtection="1">
      <alignment vertical="center"/>
      <protection locked="0"/>
    </xf>
    <xf numFmtId="3" fontId="19" fillId="3" borderId="2" xfId="0" applyNumberFormat="1" applyFont="1" applyFill="1" applyBorder="1" applyAlignment="1">
      <alignment horizontal="center" vertical="center"/>
    </xf>
    <xf numFmtId="3" fontId="24" fillId="9" borderId="2" xfId="0" applyNumberFormat="1" applyFont="1" applyFill="1" applyBorder="1" applyAlignment="1">
      <alignment horizontal="center" vertical="center"/>
    </xf>
    <xf numFmtId="3" fontId="3" fillId="3" borderId="0" xfId="0" applyNumberFormat="1" applyFont="1" applyFill="1" applyAlignment="1">
      <alignment vertical="center"/>
    </xf>
    <xf numFmtId="3" fontId="3" fillId="0" borderId="0" xfId="0" applyNumberFormat="1" applyFont="1" applyAlignment="1">
      <alignment vertical="center"/>
    </xf>
    <xf numFmtId="3" fontId="24" fillId="4" borderId="2" xfId="0" applyNumberFormat="1" applyFont="1" applyFill="1" applyBorder="1" applyAlignment="1">
      <alignment horizontal="center" vertical="center"/>
    </xf>
    <xf numFmtId="0" fontId="3" fillId="0" borderId="0" xfId="0" applyFont="1" applyAlignment="1">
      <alignment horizontal="centerContinuous" vertical="center"/>
    </xf>
    <xf numFmtId="0" fontId="3" fillId="3" borderId="7" xfId="0" applyFont="1" applyFill="1" applyBorder="1" applyAlignment="1" applyProtection="1">
      <alignment horizontal="centerContinuous" vertical="center"/>
    </xf>
    <xf numFmtId="1" fontId="3" fillId="3" borderId="4" xfId="0" applyNumberFormat="1" applyFont="1" applyFill="1" applyBorder="1" applyAlignment="1" applyProtection="1">
      <alignment horizontal="centerContinuous" vertical="center"/>
    </xf>
    <xf numFmtId="164" fontId="3" fillId="3" borderId="2" xfId="0" applyNumberFormat="1" applyFont="1" applyFill="1" applyBorder="1" applyAlignment="1" applyProtection="1">
      <alignment vertical="center"/>
    </xf>
    <xf numFmtId="37" fontId="3" fillId="3" borderId="2" xfId="0" applyNumberFormat="1" applyFont="1" applyFill="1" applyBorder="1" applyAlignment="1" applyProtection="1">
      <alignment vertical="center"/>
      <protection locked="0"/>
    </xf>
    <xf numFmtId="1" fontId="3" fillId="3" borderId="0" xfId="0" applyNumberFormat="1" applyFont="1" applyFill="1" applyAlignment="1" applyProtection="1">
      <alignment vertical="center"/>
    </xf>
    <xf numFmtId="1" fontId="5" fillId="3" borderId="0" xfId="0" applyNumberFormat="1" applyFont="1" applyFill="1" applyAlignment="1" applyProtection="1">
      <alignment horizontal="center" vertical="center"/>
    </xf>
    <xf numFmtId="37" fontId="3" fillId="3" borderId="12" xfId="0" applyNumberFormat="1" applyFont="1" applyFill="1" applyBorder="1" applyAlignment="1" applyProtection="1">
      <alignment vertical="center"/>
    </xf>
    <xf numFmtId="0" fontId="3" fillId="2" borderId="0" xfId="0" applyFont="1" applyFill="1" applyAlignment="1" applyProtection="1">
      <alignment vertical="center"/>
      <protection locked="0"/>
    </xf>
    <xf numFmtId="0" fontId="3" fillId="3" borderId="7"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3" fontId="3" fillId="2" borderId="2" xfId="0" applyNumberFormat="1" applyFont="1" applyFill="1" applyBorder="1" applyAlignment="1" applyProtection="1">
      <alignment horizontal="center" vertical="center"/>
      <protection locked="0"/>
    </xf>
    <xf numFmtId="173" fontId="3" fillId="3" borderId="2" xfId="0" applyNumberFormat="1" applyFont="1" applyFill="1" applyBorder="1" applyAlignment="1" applyProtection="1">
      <alignment horizontal="center" vertical="center"/>
    </xf>
    <xf numFmtId="3" fontId="3" fillId="2" borderId="7" xfId="0" applyNumberFormat="1" applyFont="1" applyFill="1" applyBorder="1" applyAlignment="1" applyProtection="1">
      <alignment horizontal="center" vertical="center"/>
      <protection locked="0"/>
    </xf>
    <xf numFmtId="3" fontId="3" fillId="3" borderId="12" xfId="0" applyNumberFormat="1" applyFont="1" applyFill="1" applyBorder="1" applyAlignment="1" applyProtection="1">
      <alignment horizontal="center" vertical="center"/>
    </xf>
    <xf numFmtId="173" fontId="3" fillId="3" borderId="12"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center" vertical="center"/>
    </xf>
    <xf numFmtId="173" fontId="3" fillId="3" borderId="1" xfId="0" applyNumberFormat="1" applyFont="1" applyFill="1" applyBorder="1" applyAlignment="1" applyProtection="1">
      <alignment horizontal="center" vertical="center"/>
    </xf>
    <xf numFmtId="173" fontId="3" fillId="3" borderId="0" xfId="0" applyNumberFormat="1" applyFont="1" applyFill="1" applyBorder="1" applyAlignment="1" applyProtection="1">
      <alignment horizontal="center" vertical="center"/>
    </xf>
    <xf numFmtId="3" fontId="3" fillId="3" borderId="1" xfId="0" applyNumberFormat="1" applyFont="1" applyFill="1" applyBorder="1" applyAlignment="1">
      <alignment horizontal="center" vertical="center"/>
    </xf>
    <xf numFmtId="0" fontId="0" fillId="3" borderId="0" xfId="0" applyFill="1" applyAlignment="1">
      <alignment horizontal="center" vertical="center"/>
    </xf>
    <xf numFmtId="173" fontId="3" fillId="3" borderId="1" xfId="0" applyNumberFormat="1" applyFont="1" applyFill="1" applyBorder="1" applyAlignment="1">
      <alignment horizontal="center" vertical="center"/>
    </xf>
    <xf numFmtId="172" fontId="3" fillId="3" borderId="0" xfId="0" applyNumberFormat="1" applyFont="1" applyFill="1" applyBorder="1" applyAlignment="1" applyProtection="1">
      <alignment vertical="center"/>
    </xf>
    <xf numFmtId="0" fontId="5" fillId="0" borderId="0" xfId="0" applyFont="1" applyAlignment="1">
      <alignment vertical="center"/>
    </xf>
    <xf numFmtId="0" fontId="30" fillId="0" borderId="0" xfId="0" applyFont="1" applyAlignment="1">
      <alignment horizontal="center" vertical="center"/>
    </xf>
    <xf numFmtId="0" fontId="4" fillId="0" borderId="0" xfId="0" applyFont="1" applyAlignment="1">
      <alignment vertical="center" wrapText="1"/>
    </xf>
    <xf numFmtId="3" fontId="35" fillId="9" borderId="0" xfId="0" applyNumberFormat="1" applyFont="1" applyFill="1" applyAlignment="1">
      <alignment horizontal="center" vertical="center"/>
    </xf>
    <xf numFmtId="0" fontId="3" fillId="0" borderId="0" xfId="296" applyNumberFormat="1" applyFont="1" applyAlignment="1">
      <alignment vertical="center" wrapText="1"/>
    </xf>
    <xf numFmtId="0" fontId="3" fillId="0" borderId="0" xfId="305" applyNumberFormat="1" applyFont="1" applyAlignment="1">
      <alignment vertical="center" wrapText="1"/>
    </xf>
    <xf numFmtId="0" fontId="3" fillId="0" borderId="0" xfId="312" applyFont="1" applyAlignment="1">
      <alignment vertical="center" wrapText="1"/>
    </xf>
    <xf numFmtId="0" fontId="3" fillId="0" borderId="0" xfId="124" applyFont="1" applyAlignment="1">
      <alignment vertical="center" wrapText="1"/>
    </xf>
    <xf numFmtId="0" fontId="0" fillId="0" borderId="0" xfId="0" applyAlignment="1"/>
    <xf numFmtId="37" fontId="15" fillId="3" borderId="0" xfId="0" applyNumberFormat="1" applyFont="1" applyFill="1" applyBorder="1" applyAlignment="1" applyProtection="1">
      <alignment horizontal="left" vertical="center"/>
    </xf>
    <xf numFmtId="0" fontId="3" fillId="0" borderId="0" xfId="331" applyFont="1" applyAlignment="1">
      <alignment vertical="center"/>
    </xf>
    <xf numFmtId="37" fontId="15" fillId="3" borderId="0" xfId="0" applyNumberFormat="1" applyFont="1" applyFill="1" applyBorder="1" applyAlignment="1" applyProtection="1">
      <alignment horizontal="fill" vertical="center"/>
    </xf>
    <xf numFmtId="0" fontId="39" fillId="0" borderId="0" xfId="319" applyFont="1"/>
    <xf numFmtId="0" fontId="3" fillId="0" borderId="0" xfId="319" applyFont="1" applyAlignment="1">
      <alignment horizontal="left" vertical="center"/>
    </xf>
    <xf numFmtId="49" fontId="3" fillId="2" borderId="0" xfId="319" applyNumberFormat="1" applyFont="1" applyFill="1" applyAlignment="1" applyProtection="1">
      <alignment horizontal="left" vertical="center"/>
      <protection locked="0"/>
    </xf>
    <xf numFmtId="174" fontId="19" fillId="0" borderId="0" xfId="319" applyNumberFormat="1" applyFont="1" applyAlignment="1">
      <alignment horizontal="left" vertical="center"/>
    </xf>
    <xf numFmtId="49" fontId="3" fillId="0" borderId="0" xfId="319" applyNumberFormat="1" applyFont="1" applyAlignment="1">
      <alignment horizontal="left" vertical="center"/>
    </xf>
    <xf numFmtId="0" fontId="19" fillId="0" borderId="0" xfId="319" applyFont="1" applyAlignment="1">
      <alignment horizontal="left" vertical="center"/>
    </xf>
    <xf numFmtId="175" fontId="19" fillId="0" borderId="0" xfId="319" applyNumberFormat="1" applyFont="1" applyAlignment="1">
      <alignment horizontal="left" vertical="center"/>
    </xf>
    <xf numFmtId="0" fontId="3" fillId="2" borderId="0" xfId="319" applyFont="1" applyFill="1" applyAlignment="1" applyProtection="1">
      <alignment horizontal="left" vertical="center"/>
      <protection locked="0"/>
    </xf>
    <xf numFmtId="0" fontId="39" fillId="2" borderId="0" xfId="319" applyFont="1" applyFill="1" applyAlignment="1" applyProtection="1">
      <alignment horizontal="left" vertical="center"/>
      <protection locked="0"/>
    </xf>
    <xf numFmtId="0" fontId="5" fillId="0" borderId="0" xfId="61" applyFont="1" applyAlignment="1">
      <alignment vertical="center"/>
    </xf>
    <xf numFmtId="0" fontId="3" fillId="0" borderId="0" xfId="65" applyFont="1" applyAlignment="1">
      <alignment vertical="center"/>
    </xf>
    <xf numFmtId="0" fontId="23" fillId="0" borderId="0" xfId="0" applyFont="1" applyAlignment="1">
      <alignment horizontal="center"/>
    </xf>
    <xf numFmtId="0" fontId="2" fillId="0" borderId="0" xfId="0" applyFont="1"/>
    <xf numFmtId="0" fontId="40" fillId="0" borderId="0" xfId="0" applyFont="1"/>
    <xf numFmtId="0" fontId="40" fillId="0" borderId="0" xfId="0" applyFont="1" applyAlignment="1"/>
    <xf numFmtId="0" fontId="2" fillId="0" borderId="0" xfId="0" quotePrefix="1" applyFont="1"/>
    <xf numFmtId="0" fontId="2" fillId="0" borderId="0" xfId="141" applyFont="1"/>
    <xf numFmtId="0" fontId="2" fillId="0" borderId="0" xfId="141" applyFont="1" applyFill="1"/>
    <xf numFmtId="0" fontId="2" fillId="0" borderId="0" xfId="0" applyFont="1" applyAlignment="1"/>
    <xf numFmtId="0" fontId="40" fillId="0" borderId="0" xfId="0" applyFont="1" applyAlignment="1">
      <alignment horizontal="center"/>
    </xf>
    <xf numFmtId="0" fontId="3" fillId="0" borderId="0" xfId="336" applyFont="1" applyAlignment="1">
      <alignment vertical="center" wrapText="1"/>
    </xf>
    <xf numFmtId="0" fontId="3" fillId="0" borderId="0" xfId="14" applyFont="1" applyAlignment="1">
      <alignment vertical="center" wrapText="1"/>
    </xf>
    <xf numFmtId="0" fontId="5" fillId="0" borderId="0" xfId="60" applyFont="1" applyAlignment="1">
      <alignment vertical="center"/>
    </xf>
    <xf numFmtId="0" fontId="53" fillId="3" borderId="0" xfId="0" applyFont="1" applyFill="1" applyAlignment="1" applyProtection="1">
      <alignment horizontal="right" vertical="center"/>
      <protection locked="0"/>
    </xf>
    <xf numFmtId="0" fontId="7" fillId="3" borderId="0" xfId="0" applyFont="1" applyFill="1" applyAlignment="1" applyProtection="1">
      <alignment horizontal="left" vertical="center"/>
      <protection locked="0"/>
    </xf>
    <xf numFmtId="3" fontId="19" fillId="4" borderId="8" xfId="0" applyNumberFormat="1" applyFont="1" applyFill="1" applyBorder="1" applyAlignment="1">
      <alignment horizontal="center" vertical="center"/>
    </xf>
    <xf numFmtId="0" fontId="3" fillId="2" borderId="1" xfId="0" applyFont="1" applyFill="1" applyBorder="1" applyAlignment="1" applyProtection="1">
      <alignment vertical="center"/>
      <protection locked="0"/>
    </xf>
    <xf numFmtId="14" fontId="3" fillId="7" borderId="2" xfId="0" applyNumberFormat="1" applyFont="1" applyFill="1" applyBorder="1" applyAlignment="1" applyProtection="1">
      <alignment vertical="center"/>
      <protection locked="0"/>
    </xf>
    <xf numFmtId="14" fontId="3" fillId="7" borderId="2" xfId="0" applyNumberFormat="1" applyFont="1" applyFill="1" applyBorder="1" applyAlignment="1" applyProtection="1">
      <alignment horizontal="center" vertical="center"/>
      <protection locked="0"/>
    </xf>
    <xf numFmtId="37" fontId="3" fillId="11" borderId="2"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protection locked="0"/>
    </xf>
    <xf numFmtId="3" fontId="21" fillId="10" borderId="4" xfId="0" applyNumberFormat="1" applyFont="1" applyFill="1" applyBorder="1" applyAlignment="1" applyProtection="1">
      <alignment horizontal="center" vertical="center"/>
    </xf>
    <xf numFmtId="3" fontId="4" fillId="4" borderId="4" xfId="0" applyNumberFormat="1" applyFont="1" applyFill="1" applyBorder="1" applyAlignment="1" applyProtection="1">
      <alignment vertical="center"/>
    </xf>
    <xf numFmtId="0" fontId="3" fillId="3" borderId="18" xfId="0" applyNumberFormat="1" applyFont="1" applyFill="1" applyBorder="1" applyAlignment="1" applyProtection="1">
      <alignment horizontal="center" vertical="center"/>
    </xf>
    <xf numFmtId="3" fontId="3" fillId="3" borderId="4" xfId="0" applyNumberFormat="1" applyFont="1" applyFill="1" applyBorder="1" applyAlignment="1" applyProtection="1">
      <alignment vertical="center"/>
    </xf>
    <xf numFmtId="3" fontId="3" fillId="4" borderId="4" xfId="0" applyNumberFormat="1" applyFont="1" applyFill="1" applyBorder="1" applyAlignment="1" applyProtection="1">
      <alignment vertical="center"/>
    </xf>
    <xf numFmtId="3" fontId="3" fillId="3" borderId="4" xfId="0" applyNumberFormat="1" applyFont="1" applyFill="1" applyBorder="1" applyAlignment="1" applyProtection="1">
      <alignment horizontal="right" vertical="center"/>
      <protection locked="0"/>
    </xf>
    <xf numFmtId="3" fontId="3" fillId="7" borderId="4" xfId="0" applyNumberFormat="1" applyFont="1" applyFill="1" applyBorder="1" applyAlignment="1" applyProtection="1">
      <alignment horizontal="right" vertical="center"/>
      <protection locked="0"/>
    </xf>
    <xf numFmtId="3" fontId="3" fillId="3" borderId="4" xfId="0" applyNumberFormat="1" applyFont="1" applyFill="1" applyBorder="1" applyAlignment="1" applyProtection="1">
      <alignment horizontal="right" vertical="center"/>
    </xf>
    <xf numFmtId="3" fontId="3" fillId="3" borderId="4" xfId="1" applyNumberFormat="1" applyFont="1" applyFill="1" applyBorder="1" applyAlignment="1" applyProtection="1">
      <alignment horizontal="right" vertical="center"/>
    </xf>
    <xf numFmtId="3" fontId="4" fillId="4" borderId="18" xfId="0" applyNumberFormat="1" applyFont="1" applyFill="1" applyBorder="1" applyAlignment="1" applyProtection="1">
      <alignment horizontal="right" vertical="center"/>
    </xf>
    <xf numFmtId="3" fontId="4" fillId="4" borderId="4" xfId="0" applyNumberFormat="1" applyFont="1" applyFill="1" applyBorder="1" applyAlignment="1" applyProtection="1">
      <alignment horizontal="right" vertical="center"/>
    </xf>
    <xf numFmtId="3" fontId="3" fillId="4" borderId="4" xfId="0" applyNumberFormat="1" applyFont="1" applyFill="1" applyBorder="1" applyAlignment="1" applyProtection="1">
      <alignment horizontal="right" vertical="center"/>
    </xf>
    <xf numFmtId="49" fontId="3" fillId="2" borderId="2" xfId="0" applyNumberFormat="1" applyFont="1" applyFill="1" applyBorder="1" applyAlignment="1" applyProtection="1">
      <alignment horizontal="center" vertical="center"/>
      <protection locked="0"/>
    </xf>
    <xf numFmtId="37" fontId="15" fillId="3" borderId="0" xfId="0" applyNumberFormat="1" applyFont="1" applyFill="1" applyAlignment="1" applyProtection="1">
      <alignment horizontal="center" vertical="center"/>
      <protection locked="0"/>
    </xf>
    <xf numFmtId="37" fontId="15" fillId="3" borderId="0" xfId="0" applyNumberFormat="1" applyFont="1" applyFill="1" applyAlignment="1" applyProtection="1">
      <alignment horizontal="left" vertical="center"/>
      <protection locked="0"/>
    </xf>
    <xf numFmtId="0" fontId="15" fillId="5" borderId="2" xfId="0" applyFont="1" applyFill="1" applyBorder="1" applyAlignment="1" applyProtection="1">
      <alignment horizontal="center" vertical="center"/>
    </xf>
    <xf numFmtId="37" fontId="15" fillId="3" borderId="13" xfId="0" applyNumberFormat="1" applyFont="1" applyFill="1" applyBorder="1" applyAlignment="1" applyProtection="1">
      <alignment horizontal="center" vertical="center"/>
    </xf>
    <xf numFmtId="0" fontId="47" fillId="0" borderId="0" xfId="0" applyFont="1" applyAlignment="1" applyProtection="1">
      <alignment vertical="center"/>
    </xf>
    <xf numFmtId="0" fontId="15" fillId="9" borderId="1" xfId="16" applyFont="1" applyFill="1" applyBorder="1" applyAlignment="1" applyProtection="1">
      <alignment vertical="center"/>
    </xf>
    <xf numFmtId="0" fontId="15" fillId="3" borderId="19" xfId="16" applyFont="1" applyFill="1" applyBorder="1" applyAlignment="1" applyProtection="1">
      <alignment vertical="center"/>
    </xf>
    <xf numFmtId="0" fontId="3" fillId="9" borderId="9" xfId="16" applyFont="1" applyFill="1" applyBorder="1" applyAlignment="1" applyProtection="1">
      <alignment vertical="center"/>
    </xf>
    <xf numFmtId="0" fontId="15" fillId="9" borderId="9" xfId="16" applyFont="1" applyFill="1" applyBorder="1" applyAlignment="1" applyProtection="1">
      <alignment vertical="center"/>
    </xf>
    <xf numFmtId="37" fontId="15" fillId="3" borderId="8" xfId="25" applyNumberFormat="1" applyFont="1" applyFill="1" applyBorder="1" applyAlignment="1" applyProtection="1">
      <alignment horizontal="center" vertical="center"/>
    </xf>
    <xf numFmtId="37" fontId="15" fillId="3" borderId="3" xfId="25" applyNumberFormat="1" applyFont="1" applyFill="1" applyBorder="1" applyAlignment="1" applyProtection="1">
      <alignment horizontal="center" vertical="center"/>
    </xf>
    <xf numFmtId="3" fontId="21" fillId="2" borderId="2" xfId="0" applyNumberFormat="1"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3" fontId="22" fillId="3" borderId="2" xfId="0" applyNumberFormat="1" applyFont="1" applyFill="1" applyBorder="1" applyAlignment="1" applyProtection="1">
      <alignment horizontal="center" vertical="center"/>
    </xf>
    <xf numFmtId="3" fontId="21" fillId="10" borderId="7" xfId="0" applyNumberFormat="1" applyFont="1" applyFill="1" applyBorder="1" applyAlignment="1" applyProtection="1">
      <alignment horizontal="center" vertical="center"/>
    </xf>
    <xf numFmtId="0" fontId="4" fillId="3" borderId="9" xfId="0" applyFont="1" applyFill="1" applyBorder="1" applyAlignment="1" applyProtection="1">
      <alignment vertical="center"/>
    </xf>
    <xf numFmtId="0" fontId="4" fillId="3" borderId="1" xfId="0" applyFont="1" applyFill="1" applyBorder="1" applyAlignment="1" applyProtection="1">
      <alignment vertical="center"/>
    </xf>
    <xf numFmtId="37" fontId="4" fillId="3" borderId="1" xfId="0" applyNumberFormat="1" applyFont="1" applyFill="1" applyBorder="1" applyAlignment="1" applyProtection="1">
      <alignment vertical="center"/>
    </xf>
    <xf numFmtId="37" fontId="4" fillId="3" borderId="0" xfId="0" applyNumberFormat="1" applyFont="1" applyFill="1" applyBorder="1" applyAlignment="1" applyProtection="1">
      <alignment vertical="center"/>
    </xf>
    <xf numFmtId="3" fontId="3" fillId="9" borderId="4" xfId="0" applyNumberFormat="1" applyFont="1" applyFill="1" applyBorder="1" applyAlignment="1" applyProtection="1">
      <alignment vertical="center"/>
    </xf>
    <xf numFmtId="0" fontId="32" fillId="0" borderId="0" xfId="0" applyFont="1"/>
    <xf numFmtId="0" fontId="31" fillId="0" borderId="0" xfId="0" applyFont="1" applyAlignment="1">
      <alignment wrapText="1"/>
    </xf>
    <xf numFmtId="0" fontId="0" fillId="0" borderId="0" xfId="0" applyAlignment="1">
      <alignment vertical="center" wrapText="1"/>
    </xf>
    <xf numFmtId="0" fontId="4" fillId="0" borderId="0" xfId="0" applyFont="1" applyAlignment="1">
      <alignment wrapText="1"/>
    </xf>
    <xf numFmtId="0" fontId="12" fillId="0" borderId="0" xfId="0" applyFont="1" applyAlignment="1">
      <alignment wrapText="1"/>
    </xf>
    <xf numFmtId="0" fontId="36" fillId="0" borderId="0" xfId="0" applyFont="1" applyAlignment="1">
      <alignment vertical="center"/>
    </xf>
    <xf numFmtId="0" fontId="37" fillId="0" borderId="0" xfId="0" applyFont="1" applyAlignment="1">
      <alignment horizontal="center"/>
    </xf>
    <xf numFmtId="37" fontId="3" fillId="3" borderId="3" xfId="16" applyNumberFormat="1" applyFont="1" applyFill="1" applyBorder="1" applyAlignment="1" applyProtection="1">
      <alignment horizontal="center" vertical="center"/>
    </xf>
    <xf numFmtId="37" fontId="3" fillId="3" borderId="8" xfId="16" applyNumberFormat="1" applyFont="1" applyFill="1" applyBorder="1" applyAlignment="1" applyProtection="1">
      <alignment horizontal="center" vertical="center"/>
    </xf>
    <xf numFmtId="0" fontId="16" fillId="9" borderId="1" xfId="16" applyFont="1" applyFill="1" applyBorder="1" applyAlignment="1" applyProtection="1">
      <alignment vertical="center"/>
    </xf>
    <xf numFmtId="176" fontId="16" fillId="9" borderId="18" xfId="16" applyNumberFormat="1" applyFont="1" applyFill="1" applyBorder="1" applyAlignment="1" applyProtection="1">
      <alignment horizontal="center" vertical="center"/>
    </xf>
    <xf numFmtId="176" fontId="15" fillId="3" borderId="19" xfId="16" applyNumberFormat="1" applyFont="1" applyFill="1" applyBorder="1" applyAlignment="1" applyProtection="1">
      <alignment vertical="center"/>
    </xf>
    <xf numFmtId="176" fontId="15" fillId="3" borderId="18" xfId="16" applyNumberFormat="1" applyFont="1" applyFill="1" applyBorder="1" applyAlignment="1" applyProtection="1">
      <alignment horizontal="center" vertical="center"/>
    </xf>
    <xf numFmtId="0" fontId="15" fillId="3" borderId="0" xfId="16" applyFont="1" applyFill="1" applyBorder="1" applyAlignment="1" applyProtection="1">
      <alignment vertical="center"/>
    </xf>
    <xf numFmtId="0" fontId="15" fillId="3" borderId="15" xfId="16" applyFont="1" applyFill="1" applyBorder="1" applyAlignment="1" applyProtection="1">
      <alignment vertical="center"/>
    </xf>
    <xf numFmtId="0" fontId="15" fillId="3" borderId="0" xfId="16" applyFont="1" applyFill="1" applyBorder="1" applyAlignment="1" applyProtection="1">
      <alignment horizontal="left" vertical="center"/>
    </xf>
    <xf numFmtId="0" fontId="47" fillId="0" borderId="0" xfId="0" applyFont="1" applyAlignment="1">
      <alignment vertical="center"/>
    </xf>
    <xf numFmtId="176" fontId="15" fillId="3" borderId="19" xfId="16" applyNumberFormat="1" applyFont="1" applyFill="1" applyBorder="1" applyAlignment="1" applyProtection="1">
      <alignment horizontal="center" vertical="center"/>
    </xf>
    <xf numFmtId="0" fontId="3" fillId="3" borderId="0" xfId="28" applyFont="1" applyFill="1" applyAlignment="1" applyProtection="1">
      <alignment horizontal="right" vertical="center"/>
    </xf>
    <xf numFmtId="0" fontId="54" fillId="3" borderId="0" xfId="0" applyFont="1" applyFill="1" applyBorder="1" applyAlignment="1" applyProtection="1">
      <alignment horizontal="center" vertical="center"/>
    </xf>
    <xf numFmtId="0" fontId="54" fillId="3" borderId="0" xfId="0" applyFont="1" applyFill="1" applyAlignment="1" applyProtection="1">
      <alignment horizontal="center" vertical="center"/>
    </xf>
    <xf numFmtId="0" fontId="3" fillId="3" borderId="20" xfId="0" applyFont="1" applyFill="1" applyBorder="1" applyAlignment="1" applyProtection="1">
      <alignment vertical="center"/>
      <protection locked="0"/>
    </xf>
    <xf numFmtId="0" fontId="3" fillId="3" borderId="20" xfId="0" applyFont="1" applyFill="1" applyBorder="1" applyAlignment="1" applyProtection="1">
      <alignment vertical="center"/>
    </xf>
    <xf numFmtId="37" fontId="3" fillId="3" borderId="20" xfId="0" applyNumberFormat="1" applyFont="1" applyFill="1" applyBorder="1" applyAlignment="1" applyProtection="1">
      <alignment vertical="center"/>
    </xf>
    <xf numFmtId="164" fontId="3" fillId="3" borderId="8" xfId="0" applyNumberFormat="1" applyFont="1" applyFill="1" applyBorder="1" applyAlignment="1" applyProtection="1">
      <alignment vertical="center"/>
    </xf>
    <xf numFmtId="37" fontId="3" fillId="3" borderId="8" xfId="0" applyNumberFormat="1" applyFont="1" applyFill="1" applyBorder="1" applyAlignment="1" applyProtection="1">
      <alignment horizontal="fill" vertical="center"/>
    </xf>
    <xf numFmtId="37" fontId="3" fillId="3" borderId="8" xfId="0" applyNumberFormat="1" applyFont="1" applyFill="1" applyBorder="1" applyAlignment="1" applyProtection="1">
      <alignment vertical="center"/>
    </xf>
    <xf numFmtId="0" fontId="2" fillId="0" borderId="0" xfId="16"/>
    <xf numFmtId="37" fontId="3" fillId="3" borderId="7" xfId="16" applyNumberFormat="1" applyFont="1" applyFill="1" applyBorder="1" applyAlignment="1" applyProtection="1">
      <alignment horizontal="center"/>
    </xf>
    <xf numFmtId="37" fontId="3" fillId="3" borderId="8" xfId="16" applyNumberFormat="1" applyFont="1" applyFill="1" applyBorder="1" applyAlignment="1" applyProtection="1">
      <alignment horizontal="center"/>
    </xf>
    <xf numFmtId="0" fontId="3" fillId="3" borderId="0" xfId="16" applyFont="1" applyFill="1" applyBorder="1" applyAlignment="1" applyProtection="1">
      <alignment vertical="center"/>
    </xf>
    <xf numFmtId="0" fontId="3" fillId="3" borderId="19" xfId="16" applyFont="1" applyFill="1" applyBorder="1" applyAlignment="1" applyProtection="1">
      <alignment vertical="center"/>
    </xf>
    <xf numFmtId="0" fontId="3" fillId="3" borderId="15" xfId="16" applyFont="1" applyFill="1" applyBorder="1" applyAlignment="1" applyProtection="1">
      <alignment vertical="center"/>
    </xf>
    <xf numFmtId="0" fontId="3" fillId="0" borderId="0" xfId="16" applyFont="1" applyFill="1" applyBorder="1" applyAlignment="1" applyProtection="1">
      <alignment vertical="center"/>
    </xf>
    <xf numFmtId="0" fontId="15" fillId="12" borderId="19" xfId="25" applyFont="1" applyFill="1" applyBorder="1" applyProtection="1"/>
    <xf numFmtId="0" fontId="3" fillId="12" borderId="0" xfId="25" applyFont="1" applyFill="1" applyBorder="1" applyProtection="1"/>
    <xf numFmtId="176" fontId="3" fillId="12" borderId="15" xfId="25" applyNumberFormat="1" applyFont="1" applyFill="1" applyBorder="1" applyAlignment="1" applyProtection="1">
      <alignment horizontal="center"/>
    </xf>
    <xf numFmtId="0" fontId="3" fillId="12" borderId="18" xfId="25" applyFont="1" applyFill="1" applyBorder="1" applyProtection="1"/>
    <xf numFmtId="0" fontId="3" fillId="12" borderId="1" xfId="25" applyFont="1" applyFill="1" applyBorder="1" applyProtection="1"/>
    <xf numFmtId="176" fontId="3" fillId="13" borderId="9" xfId="25" applyNumberFormat="1" applyFont="1" applyFill="1" applyBorder="1" applyAlignment="1" applyProtection="1">
      <alignment horizontal="center"/>
    </xf>
    <xf numFmtId="0" fontId="3" fillId="0" borderId="0" xfId="25" applyFont="1" applyFill="1" applyBorder="1" applyProtection="1"/>
    <xf numFmtId="0" fontId="3" fillId="12" borderId="19" xfId="25" applyFont="1" applyFill="1" applyBorder="1" applyProtection="1"/>
    <xf numFmtId="0" fontId="3" fillId="12" borderId="15" xfId="25" applyFont="1" applyFill="1" applyBorder="1" applyProtection="1"/>
    <xf numFmtId="172" fontId="3" fillId="12" borderId="15" xfId="25" applyNumberFormat="1" applyFont="1" applyFill="1" applyBorder="1" applyAlignment="1" applyProtection="1">
      <alignment horizontal="center"/>
    </xf>
    <xf numFmtId="0" fontId="3" fillId="13" borderId="19" xfId="25" applyFont="1" applyFill="1" applyBorder="1" applyProtection="1"/>
    <xf numFmtId="0" fontId="3" fillId="13" borderId="0" xfId="25" applyFont="1" applyFill="1" applyBorder="1" applyProtection="1"/>
    <xf numFmtId="0" fontId="3" fillId="13" borderId="18" xfId="25" applyFont="1" applyFill="1" applyBorder="1" applyProtection="1"/>
    <xf numFmtId="0" fontId="3" fillId="13" borderId="1" xfId="25" applyFont="1" applyFill="1" applyBorder="1" applyProtection="1"/>
    <xf numFmtId="0" fontId="3" fillId="0" borderId="0" xfId="25" applyFont="1" applyProtection="1"/>
    <xf numFmtId="176" fontId="3" fillId="12" borderId="9" xfId="25" applyNumberFormat="1" applyFont="1" applyFill="1" applyBorder="1" applyAlignment="1" applyProtection="1">
      <alignment horizontal="center"/>
    </xf>
    <xf numFmtId="173" fontId="3" fillId="11" borderId="15" xfId="25" applyNumberFormat="1" applyFont="1" applyFill="1" applyBorder="1" applyAlignment="1" applyProtection="1">
      <alignment horizontal="center"/>
      <protection locked="0"/>
    </xf>
    <xf numFmtId="37" fontId="3" fillId="14" borderId="12" xfId="0" applyNumberFormat="1" applyFont="1" applyFill="1" applyBorder="1" applyAlignment="1" applyProtection="1">
      <alignment vertical="center"/>
    </xf>
    <xf numFmtId="0" fontId="32" fillId="0" borderId="0" xfId="0" applyFont="1" applyAlignment="1">
      <alignment vertical="center"/>
    </xf>
    <xf numFmtId="0" fontId="49" fillId="0" borderId="0" xfId="0" applyFont="1" applyBorder="1" applyAlignment="1">
      <alignment horizontal="centerContinuous"/>
    </xf>
    <xf numFmtId="0" fontId="49" fillId="0" borderId="0" xfId="0" applyFont="1" applyBorder="1"/>
    <xf numFmtId="0" fontId="49" fillId="0" borderId="0" xfId="0" applyFont="1"/>
    <xf numFmtId="0" fontId="3" fillId="0" borderId="0" xfId="16" applyFont="1" applyAlignment="1">
      <alignment vertical="center"/>
    </xf>
    <xf numFmtId="0" fontId="3" fillId="0" borderId="0" xfId="28" applyFont="1" applyAlignment="1">
      <alignment vertical="center"/>
    </xf>
    <xf numFmtId="0" fontId="3" fillId="0" borderId="0" xfId="16" applyFont="1"/>
    <xf numFmtId="0" fontId="50" fillId="0" borderId="0" xfId="16" applyFont="1" applyAlignment="1">
      <alignment horizontal="center"/>
    </xf>
    <xf numFmtId="0" fontId="3" fillId="0" borderId="0" xfId="16" applyFont="1" applyAlignment="1">
      <alignment wrapText="1"/>
    </xf>
    <xf numFmtId="0" fontId="51" fillId="0" borderId="0" xfId="8" applyFont="1" applyAlignment="1" applyProtection="1"/>
    <xf numFmtId="0" fontId="7" fillId="3" borderId="8" xfId="0" applyNumberFormat="1" applyFont="1" applyFill="1" applyBorder="1" applyAlignment="1" applyProtection="1">
      <alignment horizontal="center" vertical="center"/>
    </xf>
    <xf numFmtId="0" fontId="3" fillId="0" borderId="0" xfId="28" applyFont="1" applyAlignment="1">
      <alignment vertical="center" wrapText="1"/>
    </xf>
    <xf numFmtId="0" fontId="55" fillId="12" borderId="0" xfId="0" applyFont="1" applyFill="1"/>
    <xf numFmtId="0" fontId="55" fillId="12" borderId="21" xfId="0" applyFont="1" applyFill="1" applyBorder="1"/>
    <xf numFmtId="0" fontId="56" fillId="0" borderId="0" xfId="0" applyFont="1" applyBorder="1"/>
    <xf numFmtId="0" fontId="55" fillId="0" borderId="0" xfId="0" applyFont="1" applyBorder="1" applyAlignment="1">
      <alignment horizontal="centerContinuous"/>
    </xf>
    <xf numFmtId="0" fontId="55" fillId="12" borderId="21" xfId="0" applyFont="1" applyFill="1" applyBorder="1" applyAlignment="1"/>
    <xf numFmtId="0" fontId="55" fillId="12" borderId="22" xfId="0" applyFont="1" applyFill="1" applyBorder="1" applyAlignment="1">
      <alignment horizontal="centerContinuous" vertical="center"/>
    </xf>
    <xf numFmtId="176" fontId="55" fillId="12" borderId="0" xfId="0" applyNumberFormat="1" applyFont="1" applyFill="1" applyBorder="1" applyAlignment="1">
      <alignment horizontal="centerContinuous" vertical="center"/>
    </xf>
    <xf numFmtId="0" fontId="55" fillId="12" borderId="0" xfId="0" applyFont="1" applyFill="1" applyBorder="1" applyAlignment="1">
      <alignment horizontal="centerContinuous" vertical="center"/>
    </xf>
    <xf numFmtId="173" fontId="55" fillId="12" borderId="0" xfId="0" applyNumberFormat="1" applyFont="1" applyFill="1" applyBorder="1" applyAlignment="1" applyProtection="1">
      <alignment horizontal="centerContinuous" vertical="center"/>
      <protection locked="0"/>
    </xf>
    <xf numFmtId="177" fontId="55" fillId="12" borderId="0" xfId="0" applyNumberFormat="1" applyFont="1" applyFill="1" applyBorder="1" applyAlignment="1">
      <alignment horizontal="centerContinuous" vertical="center"/>
    </xf>
    <xf numFmtId="0" fontId="55" fillId="12" borderId="23" xfId="0" applyFont="1" applyFill="1" applyBorder="1" applyAlignment="1">
      <alignment horizontal="centerContinuous" vertical="center"/>
    </xf>
    <xf numFmtId="0" fontId="55" fillId="12" borderId="22" xfId="0" applyFont="1" applyFill="1" applyBorder="1" applyAlignment="1">
      <alignment horizontal="centerContinuous"/>
    </xf>
    <xf numFmtId="176" fontId="55" fillId="12" borderId="0" xfId="0" applyNumberFormat="1" applyFont="1" applyFill="1" applyBorder="1" applyAlignment="1">
      <alignment horizontal="centerContinuous"/>
    </xf>
    <xf numFmtId="0" fontId="55" fillId="12" borderId="0" xfId="0" applyFont="1" applyFill="1" applyBorder="1" applyAlignment="1">
      <alignment horizontal="centerContinuous"/>
    </xf>
    <xf numFmtId="173" fontId="55" fillId="12" borderId="0" xfId="0" applyNumberFormat="1" applyFont="1" applyFill="1" applyBorder="1" applyAlignment="1" applyProtection="1">
      <alignment horizontal="centerContinuous"/>
      <protection locked="0"/>
    </xf>
    <xf numFmtId="177" fontId="55" fillId="12" borderId="0" xfId="0" applyNumberFormat="1" applyFont="1" applyFill="1" applyBorder="1" applyAlignment="1">
      <alignment horizontal="centerContinuous"/>
    </xf>
    <xf numFmtId="0" fontId="55" fillId="12" borderId="23" xfId="0" applyFont="1" applyFill="1" applyBorder="1" applyAlignment="1">
      <alignment horizontal="centerContinuous"/>
    </xf>
    <xf numFmtId="0" fontId="49" fillId="15" borderId="0" xfId="0" applyFont="1" applyFill="1"/>
    <xf numFmtId="0" fontId="49" fillId="12" borderId="0" xfId="0" applyFont="1" applyFill="1"/>
    <xf numFmtId="0" fontId="55" fillId="15" borderId="0" xfId="0" applyFont="1" applyFill="1" applyAlignment="1">
      <alignment horizontal="center" wrapText="1"/>
    </xf>
    <xf numFmtId="0" fontId="49" fillId="12" borderId="0" xfId="0" applyFont="1" applyFill="1" applyAlignment="1">
      <alignment horizontal="center"/>
    </xf>
    <xf numFmtId="0" fontId="49" fillId="12" borderId="24" xfId="0" applyFont="1" applyFill="1" applyBorder="1"/>
    <xf numFmtId="0" fontId="49" fillId="12" borderId="25" xfId="0" applyFont="1" applyFill="1" applyBorder="1"/>
    <xf numFmtId="176" fontId="49" fillId="12" borderId="26" xfId="0" applyNumberFormat="1" applyFont="1" applyFill="1" applyBorder="1"/>
    <xf numFmtId="0" fontId="49" fillId="12" borderId="0" xfId="0" applyFont="1" applyFill="1" applyBorder="1"/>
    <xf numFmtId="176" fontId="49" fillId="12" borderId="1" xfId="0" applyNumberFormat="1" applyFont="1" applyFill="1" applyBorder="1" applyAlignment="1">
      <alignment horizontal="center"/>
    </xf>
    <xf numFmtId="0" fontId="49" fillId="12" borderId="23" xfId="0" applyFont="1" applyFill="1" applyBorder="1"/>
    <xf numFmtId="0" fontId="49" fillId="12" borderId="27" xfId="0" applyFont="1" applyFill="1" applyBorder="1"/>
    <xf numFmtId="0" fontId="49" fillId="12" borderId="28" xfId="0" applyFont="1" applyFill="1" applyBorder="1"/>
    <xf numFmtId="0" fontId="49" fillId="12" borderId="29" xfId="0" applyFont="1" applyFill="1" applyBorder="1"/>
    <xf numFmtId="176" fontId="49" fillId="12" borderId="0" xfId="0" applyNumberFormat="1" applyFont="1" applyFill="1"/>
    <xf numFmtId="0" fontId="49" fillId="12" borderId="21" xfId="0" applyFont="1" applyFill="1" applyBorder="1"/>
    <xf numFmtId="0" fontId="49" fillId="12" borderId="22" xfId="0" applyFont="1" applyFill="1" applyBorder="1"/>
    <xf numFmtId="176" fontId="49" fillId="11" borderId="26" xfId="0" applyNumberFormat="1" applyFont="1" applyFill="1" applyBorder="1" applyAlignment="1" applyProtection="1">
      <alignment horizontal="center"/>
      <protection locked="0"/>
    </xf>
    <xf numFmtId="173" fontId="49" fillId="12" borderId="0" xfId="0" applyNumberFormat="1" applyFont="1" applyFill="1" applyBorder="1" applyAlignment="1">
      <alignment horizontal="center"/>
    </xf>
    <xf numFmtId="176" fontId="49" fillId="0" borderId="0" xfId="0" applyNumberFormat="1" applyFont="1"/>
    <xf numFmtId="0" fontId="49" fillId="15" borderId="0" xfId="0" applyFont="1" applyFill="1" applyBorder="1"/>
    <xf numFmtId="0" fontId="49" fillId="12" borderId="30" xfId="0" applyFont="1" applyFill="1" applyBorder="1"/>
    <xf numFmtId="0" fontId="49" fillId="12" borderId="13" xfId="0" applyFont="1" applyFill="1" applyBorder="1"/>
    <xf numFmtId="0" fontId="49" fillId="12" borderId="31" xfId="0" applyFont="1" applyFill="1" applyBorder="1"/>
    <xf numFmtId="5" fontId="49" fillId="12" borderId="28" xfId="0" applyNumberFormat="1" applyFont="1" applyFill="1" applyBorder="1" applyAlignment="1">
      <alignment horizontal="center"/>
    </xf>
    <xf numFmtId="0" fontId="49" fillId="12" borderId="28" xfId="0" applyFont="1" applyFill="1" applyBorder="1" applyAlignment="1">
      <alignment horizontal="center"/>
    </xf>
    <xf numFmtId="173" fontId="49" fillId="12" borderId="28" xfId="0" applyNumberFormat="1" applyFont="1" applyFill="1" applyBorder="1" applyAlignment="1">
      <alignment horizontal="center"/>
    </xf>
    <xf numFmtId="177" fontId="49" fillId="12" borderId="28" xfId="0" applyNumberFormat="1" applyFont="1" applyFill="1" applyBorder="1" applyAlignment="1">
      <alignment horizontal="center"/>
    </xf>
    <xf numFmtId="0" fontId="49" fillId="12" borderId="0" xfId="0" applyFont="1" applyFill="1" applyAlignment="1">
      <alignment horizontal="center" wrapText="1"/>
    </xf>
    <xf numFmtId="0" fontId="49" fillId="12" borderId="24" xfId="0" applyFont="1" applyFill="1" applyBorder="1" applyAlignment="1"/>
    <xf numFmtId="0" fontId="49" fillId="12" borderId="25" xfId="0" applyFont="1" applyFill="1" applyBorder="1" applyAlignment="1"/>
    <xf numFmtId="0" fontId="49" fillId="12" borderId="22" xfId="0" applyFont="1" applyFill="1" applyBorder="1" applyAlignment="1"/>
    <xf numFmtId="0" fontId="49" fillId="12" borderId="23" xfId="0" applyFont="1" applyFill="1" applyBorder="1" applyAlignment="1"/>
    <xf numFmtId="0" fontId="49" fillId="12" borderId="30" xfId="0" applyFont="1" applyFill="1" applyBorder="1" applyAlignment="1"/>
    <xf numFmtId="0" fontId="49" fillId="12" borderId="13" xfId="0" applyFont="1" applyFill="1" applyBorder="1" applyAlignment="1"/>
    <xf numFmtId="0" fontId="49" fillId="12" borderId="31" xfId="0" applyFont="1" applyFill="1" applyBorder="1" applyAlignment="1"/>
    <xf numFmtId="172" fontId="49" fillId="12" borderId="0" xfId="0" applyNumberFormat="1" applyFont="1" applyFill="1" applyBorder="1" applyAlignment="1">
      <alignment horizontal="center"/>
    </xf>
    <xf numFmtId="0" fontId="49" fillId="12" borderId="27" xfId="0" applyFont="1" applyFill="1" applyBorder="1" applyAlignment="1"/>
    <xf numFmtId="5" fontId="49" fillId="12" borderId="0" xfId="0" applyNumberFormat="1" applyFont="1" applyFill="1" applyBorder="1" applyAlignment="1">
      <alignment horizontal="center"/>
    </xf>
    <xf numFmtId="0" fontId="49" fillId="15" borderId="0" xfId="0" applyFont="1" applyFill="1" applyAlignment="1"/>
    <xf numFmtId="173" fontId="49" fillId="11" borderId="1" xfId="0" applyNumberFormat="1" applyFont="1" applyFill="1" applyBorder="1" applyAlignment="1" applyProtection="1">
      <alignment horizontal="center"/>
      <protection locked="0"/>
    </xf>
    <xf numFmtId="177" fontId="49" fillId="12" borderId="0" xfId="0" applyNumberFormat="1" applyFont="1" applyFill="1" applyBorder="1"/>
    <xf numFmtId="176" fontId="49" fillId="12" borderId="28" xfId="0" applyNumberFormat="1" applyFont="1" applyFill="1" applyBorder="1" applyAlignment="1">
      <alignment horizontal="center"/>
    </xf>
    <xf numFmtId="173" fontId="49" fillId="12" borderId="28" xfId="0" applyNumberFormat="1" applyFont="1" applyFill="1" applyBorder="1" applyAlignment="1" applyProtection="1">
      <alignment horizontal="center"/>
      <protection locked="0"/>
    </xf>
    <xf numFmtId="177" fontId="49" fillId="12" borderId="28" xfId="0" applyNumberFormat="1" applyFont="1" applyFill="1" applyBorder="1"/>
    <xf numFmtId="173" fontId="49" fillId="12" borderId="0" xfId="0" applyNumberFormat="1" applyFont="1" applyFill="1" applyBorder="1" applyAlignment="1" applyProtection="1">
      <alignment horizontal="center"/>
      <protection locked="0"/>
    </xf>
    <xf numFmtId="176" fontId="49" fillId="12" borderId="24" xfId="0" applyNumberFormat="1" applyFont="1" applyFill="1" applyBorder="1" applyAlignment="1">
      <alignment horizontal="center"/>
    </xf>
    <xf numFmtId="0" fontId="49" fillId="12" borderId="24" xfId="0" applyFont="1" applyFill="1" applyBorder="1" applyAlignment="1">
      <alignment horizontal="center"/>
    </xf>
    <xf numFmtId="173" fontId="49" fillId="12" borderId="24" xfId="0" applyNumberFormat="1" applyFont="1" applyFill="1" applyBorder="1" applyAlignment="1" applyProtection="1">
      <alignment horizontal="center"/>
      <protection locked="0"/>
    </xf>
    <xf numFmtId="177" fontId="49" fillId="12" borderId="24" xfId="0" applyNumberFormat="1" applyFont="1" applyFill="1" applyBorder="1"/>
    <xf numFmtId="176" fontId="49" fillId="12" borderId="0" xfId="0" applyNumberFormat="1" applyFont="1" applyFill="1" applyBorder="1" applyAlignment="1" applyProtection="1">
      <alignment horizontal="center"/>
      <protection locked="0"/>
    </xf>
    <xf numFmtId="0" fontId="49" fillId="16" borderId="0" xfId="0" applyFont="1" applyFill="1"/>
    <xf numFmtId="176" fontId="3" fillId="13" borderId="15" xfId="25" applyNumberFormat="1" applyFont="1" applyFill="1" applyBorder="1" applyAlignment="1" applyProtection="1">
      <alignment horizontal="center"/>
    </xf>
    <xf numFmtId="0" fontId="3" fillId="13" borderId="18" xfId="0" applyFont="1" applyFill="1" applyBorder="1" applyAlignment="1">
      <alignment vertical="center"/>
    </xf>
    <xf numFmtId="0" fontId="3" fillId="13" borderId="1" xfId="0" applyFont="1" applyFill="1" applyBorder="1" applyAlignment="1">
      <alignment vertical="center"/>
    </xf>
    <xf numFmtId="176" fontId="3" fillId="13" borderId="9" xfId="0" applyNumberFormat="1" applyFont="1" applyFill="1" applyBorder="1" applyAlignment="1">
      <alignment horizontal="center" vertical="center"/>
    </xf>
    <xf numFmtId="0" fontId="3" fillId="3" borderId="18" xfId="0" applyFont="1" applyFill="1" applyBorder="1" applyAlignment="1" applyProtection="1">
      <alignment horizontal="center" vertical="center"/>
    </xf>
    <xf numFmtId="176" fontId="49" fillId="12" borderId="0" xfId="0" applyNumberFormat="1" applyFont="1" applyFill="1" applyBorder="1" applyAlignment="1">
      <alignment horizontal="center"/>
    </xf>
    <xf numFmtId="0" fontId="49" fillId="12" borderId="13" xfId="0" applyFont="1" applyFill="1" applyBorder="1" applyAlignment="1">
      <alignment horizontal="center"/>
    </xf>
    <xf numFmtId="177" fontId="49" fillId="12" borderId="0" xfId="0" applyNumberFormat="1" applyFont="1" applyFill="1" applyBorder="1" applyAlignment="1">
      <alignment horizontal="center"/>
    </xf>
    <xf numFmtId="0" fontId="55" fillId="12" borderId="0" xfId="0" applyFont="1" applyFill="1" applyAlignment="1">
      <alignment horizontal="center" wrapText="1"/>
    </xf>
    <xf numFmtId="176" fontId="49" fillId="11" borderId="1" xfId="0" applyNumberFormat="1" applyFont="1" applyFill="1" applyBorder="1" applyAlignment="1" applyProtection="1">
      <alignment horizontal="center"/>
      <protection locked="0"/>
    </xf>
    <xf numFmtId="0" fontId="55" fillId="12" borderId="0" xfId="0" applyFont="1" applyFill="1" applyAlignment="1">
      <alignment horizontal="center"/>
    </xf>
    <xf numFmtId="176" fontId="49" fillId="12" borderId="0" xfId="0" applyNumberFormat="1" applyFont="1" applyFill="1" applyAlignment="1">
      <alignment horizontal="center"/>
    </xf>
    <xf numFmtId="0" fontId="49" fillId="12" borderId="0" xfId="0" applyFont="1" applyFill="1" applyBorder="1" applyAlignment="1"/>
    <xf numFmtId="0" fontId="49" fillId="12" borderId="29" xfId="0" applyFont="1" applyFill="1" applyBorder="1" applyAlignment="1"/>
    <xf numFmtId="0" fontId="49" fillId="12" borderId="0" xfId="0" applyFont="1" applyFill="1" applyBorder="1" applyAlignment="1">
      <alignment horizontal="center"/>
    </xf>
    <xf numFmtId="0" fontId="3" fillId="3" borderId="0" xfId="0" applyNumberFormat="1" applyFont="1" applyFill="1" applyBorder="1" applyAlignment="1" applyProtection="1">
      <alignment horizontal="right" vertical="center"/>
    </xf>
    <xf numFmtId="0" fontId="3" fillId="3" borderId="19" xfId="0" applyFont="1" applyFill="1" applyBorder="1" applyAlignment="1" applyProtection="1">
      <alignment horizontal="center" vertical="center"/>
    </xf>
    <xf numFmtId="0" fontId="3" fillId="3" borderId="0" xfId="0" applyFont="1" applyFill="1" applyBorder="1" applyAlignment="1" applyProtection="1">
      <alignment horizontal="left" vertical="center"/>
    </xf>
    <xf numFmtId="0" fontId="3" fillId="0" borderId="0" xfId="321" applyFont="1" applyAlignment="1">
      <alignment horizontal="left" vertical="center"/>
    </xf>
    <xf numFmtId="0" fontId="57" fillId="0" borderId="0" xfId="0" applyFont="1"/>
    <xf numFmtId="0" fontId="58" fillId="0" borderId="0" xfId="321" applyFont="1"/>
    <xf numFmtId="174" fontId="59" fillId="0" borderId="0" xfId="321" applyNumberFormat="1" applyFont="1" applyAlignment="1">
      <alignment horizontal="left" vertical="center"/>
    </xf>
    <xf numFmtId="0" fontId="59" fillId="0" borderId="0" xfId="321" applyNumberFormat="1" applyFont="1" applyAlignment="1">
      <alignment horizontal="left" vertical="center"/>
    </xf>
    <xf numFmtId="1" fontId="59" fillId="0" borderId="0" xfId="321" applyNumberFormat="1" applyFont="1" applyAlignment="1">
      <alignment horizontal="left" vertical="center"/>
    </xf>
    <xf numFmtId="0" fontId="60" fillId="0" borderId="0" xfId="321" applyFont="1" applyAlignment="1">
      <alignment horizontal="left" vertical="center"/>
    </xf>
    <xf numFmtId="0" fontId="3" fillId="12" borderId="0" xfId="0" applyFont="1" applyFill="1" applyAlignment="1" applyProtection="1">
      <alignment vertical="center"/>
      <protection locked="0"/>
    </xf>
    <xf numFmtId="10" fontId="3" fillId="7" borderId="2" xfId="0" applyNumberFormat="1" applyFont="1" applyFill="1" applyBorder="1" applyAlignment="1" applyProtection="1">
      <alignment vertical="center"/>
      <protection locked="0"/>
    </xf>
    <xf numFmtId="0" fontId="3" fillId="3" borderId="7" xfId="0" applyFont="1" applyFill="1" applyBorder="1" applyAlignment="1">
      <alignment horizontal="center" vertical="center"/>
    </xf>
    <xf numFmtId="37" fontId="3" fillId="4" borderId="12" xfId="0" applyNumberFormat="1" applyFont="1" applyFill="1" applyBorder="1" applyAlignment="1" applyProtection="1">
      <alignment horizontal="center" vertical="center"/>
    </xf>
    <xf numFmtId="171" fontId="3" fillId="4" borderId="12" xfId="0" applyNumberFormat="1" applyFont="1" applyFill="1" applyBorder="1" applyAlignment="1" applyProtection="1">
      <alignment horizontal="center" vertical="center"/>
    </xf>
    <xf numFmtId="171" fontId="3" fillId="3" borderId="2" xfId="0" applyNumberFormat="1" applyFont="1" applyFill="1" applyBorder="1" applyAlignment="1" applyProtection="1">
      <alignment horizontal="center" vertical="center"/>
    </xf>
    <xf numFmtId="179" fontId="3" fillId="3" borderId="0" xfId="0" applyNumberFormat="1" applyFont="1" applyFill="1" applyAlignment="1">
      <alignment horizontal="center" vertical="center"/>
    </xf>
    <xf numFmtId="0" fontId="15" fillId="12" borderId="19" xfId="0" applyFont="1" applyFill="1" applyBorder="1" applyAlignment="1" applyProtection="1">
      <alignment vertical="center"/>
    </xf>
    <xf numFmtId="0" fontId="3" fillId="12" borderId="0" xfId="0" applyFont="1" applyFill="1" applyBorder="1" applyAlignment="1" applyProtection="1">
      <alignment vertical="center"/>
    </xf>
    <xf numFmtId="0" fontId="15" fillId="12" borderId="0" xfId="0" applyFont="1" applyFill="1" applyBorder="1" applyAlignment="1" applyProtection="1">
      <alignment vertical="center"/>
    </xf>
    <xf numFmtId="176" fontId="15" fillId="12" borderId="15" xfId="0" applyNumberFormat="1" applyFont="1" applyFill="1" applyBorder="1" applyAlignment="1" applyProtection="1">
      <alignment horizontal="center" vertical="center"/>
    </xf>
    <xf numFmtId="0" fontId="15" fillId="12" borderId="19" xfId="0" applyFont="1" applyFill="1" applyBorder="1" applyAlignment="1" applyProtection="1">
      <alignment horizontal="left" vertical="center"/>
    </xf>
    <xf numFmtId="176" fontId="15" fillId="11" borderId="2" xfId="0" applyNumberFormat="1" applyFont="1" applyFill="1" applyBorder="1" applyAlignment="1" applyProtection="1">
      <alignment horizontal="center" vertical="center"/>
      <protection locked="0"/>
    </xf>
    <xf numFmtId="173" fontId="16" fillId="12" borderId="6" xfId="0" applyNumberFormat="1" applyFont="1" applyFill="1" applyBorder="1" applyAlignment="1" applyProtection="1">
      <alignment horizontal="center" vertical="center"/>
    </xf>
    <xf numFmtId="0" fontId="16" fillId="13" borderId="19" xfId="0" applyFont="1" applyFill="1" applyBorder="1" applyAlignment="1" applyProtection="1">
      <alignment vertical="center"/>
    </xf>
    <xf numFmtId="0" fontId="3" fillId="13" borderId="0" xfId="0" applyFont="1" applyFill="1" applyBorder="1" applyAlignment="1" applyProtection="1">
      <alignment vertical="center"/>
    </xf>
    <xf numFmtId="0" fontId="15" fillId="13" borderId="0" xfId="0" applyFont="1" applyFill="1" applyBorder="1" applyAlignment="1" applyProtection="1">
      <alignment vertical="center"/>
    </xf>
    <xf numFmtId="176" fontId="16" fillId="13" borderId="6" xfId="0" applyNumberFormat="1" applyFont="1" applyFill="1" applyBorder="1" applyAlignment="1" applyProtection="1">
      <alignment horizontal="center" vertical="center"/>
    </xf>
    <xf numFmtId="37" fontId="15" fillId="3" borderId="18" xfId="0" applyNumberFormat="1" applyFont="1" applyFill="1" applyBorder="1" applyAlignment="1" applyProtection="1">
      <alignment horizontal="left" vertical="center"/>
    </xf>
    <xf numFmtId="0" fontId="17" fillId="12" borderId="1" xfId="0" applyFont="1" applyFill="1" applyBorder="1" applyAlignment="1">
      <alignment horizontal="left" vertical="center"/>
    </xf>
    <xf numFmtId="176" fontId="16" fillId="13" borderId="9" xfId="0" applyNumberFormat="1" applyFont="1" applyFill="1" applyBorder="1" applyAlignment="1" applyProtection="1">
      <alignment horizontal="center" vertical="center"/>
      <protection locked="0"/>
    </xf>
    <xf numFmtId="0" fontId="3" fillId="3" borderId="15" xfId="0" applyFont="1" applyFill="1" applyBorder="1" applyAlignment="1" applyProtection="1">
      <alignment vertical="center"/>
    </xf>
    <xf numFmtId="0" fontId="3" fillId="12" borderId="15" xfId="0" applyFont="1" applyFill="1" applyBorder="1" applyAlignment="1" applyProtection="1">
      <alignment vertical="center"/>
      <protection locked="0"/>
    </xf>
    <xf numFmtId="0" fontId="61" fillId="0" borderId="0" xfId="0" applyFont="1" applyProtection="1">
      <protection locked="0"/>
    </xf>
    <xf numFmtId="0" fontId="3" fillId="13" borderId="9" xfId="0" applyFont="1" applyFill="1" applyBorder="1" applyAlignment="1" applyProtection="1">
      <alignment vertical="center"/>
      <protection locked="0"/>
    </xf>
    <xf numFmtId="173" fontId="15" fillId="12" borderId="19" xfId="0" applyNumberFormat="1" applyFont="1" applyFill="1" applyBorder="1" applyAlignment="1" applyProtection="1">
      <alignment horizontal="center" vertical="center"/>
    </xf>
    <xf numFmtId="0" fontId="15" fillId="12" borderId="0" xfId="0" applyFont="1" applyFill="1" applyBorder="1" applyAlignment="1" applyProtection="1">
      <alignment horizontal="left" vertical="center"/>
    </xf>
    <xf numFmtId="0" fontId="25" fillId="12" borderId="0" xfId="0" applyFont="1" applyFill="1" applyBorder="1" applyAlignment="1" applyProtection="1">
      <alignment horizontal="center" vertical="center"/>
    </xf>
    <xf numFmtId="0" fontId="0" fillId="12" borderId="15" xfId="0" applyFill="1" applyBorder="1" applyAlignment="1" applyProtection="1">
      <alignment vertical="center"/>
    </xf>
    <xf numFmtId="173" fontId="15" fillId="13" borderId="18" xfId="0" applyNumberFormat="1" applyFont="1" applyFill="1" applyBorder="1" applyAlignment="1" applyProtection="1">
      <alignment horizontal="center" vertical="center"/>
    </xf>
    <xf numFmtId="173" fontId="15" fillId="12" borderId="4" xfId="0" applyNumberFormat="1" applyFont="1" applyFill="1" applyBorder="1" applyAlignment="1" applyProtection="1">
      <alignment horizontal="center" vertical="center"/>
    </xf>
    <xf numFmtId="173" fontId="15" fillId="13" borderId="4" xfId="0" applyNumberFormat="1" applyFont="1" applyFill="1" applyBorder="1" applyAlignment="1" applyProtection="1">
      <alignment horizontal="center" vertical="center"/>
    </xf>
    <xf numFmtId="0" fontId="15" fillId="12" borderId="1" xfId="0" applyFont="1" applyFill="1" applyBorder="1" applyAlignment="1" applyProtection="1">
      <alignment horizontal="left" vertical="center"/>
    </xf>
    <xf numFmtId="0" fontId="25" fillId="12" borderId="1" xfId="0" applyFont="1" applyFill="1" applyBorder="1" applyAlignment="1" applyProtection="1">
      <alignment horizontal="center" vertical="center"/>
    </xf>
    <xf numFmtId="0" fontId="0" fillId="12" borderId="9" xfId="0" applyFill="1" applyBorder="1" applyAlignment="1" applyProtection="1">
      <alignment vertical="center"/>
    </xf>
    <xf numFmtId="37" fontId="3" fillId="3" borderId="15" xfId="0" applyNumberFormat="1" applyFont="1" applyFill="1" applyBorder="1" applyAlignment="1" applyProtection="1">
      <alignment horizontal="right" vertical="center"/>
    </xf>
    <xf numFmtId="176" fontId="15" fillId="12" borderId="19" xfId="0" applyNumberFormat="1" applyFont="1" applyFill="1" applyBorder="1" applyAlignment="1" applyProtection="1">
      <alignment horizontal="center" vertical="center"/>
    </xf>
    <xf numFmtId="0" fontId="15" fillId="12" borderId="15" xfId="0" applyFont="1" applyFill="1" applyBorder="1" applyAlignment="1" applyProtection="1">
      <alignment vertical="center"/>
    </xf>
    <xf numFmtId="176" fontId="15" fillId="12" borderId="18" xfId="0" applyNumberFormat="1" applyFont="1" applyFill="1" applyBorder="1" applyAlignment="1" applyProtection="1">
      <alignment horizontal="center" vertical="center"/>
    </xf>
    <xf numFmtId="176" fontId="15" fillId="12" borderId="19" xfId="0" applyNumberFormat="1" applyFont="1" applyFill="1" applyBorder="1" applyAlignment="1" applyProtection="1">
      <alignment vertical="center"/>
    </xf>
    <xf numFmtId="0" fontId="3" fillId="12" borderId="15" xfId="0" applyFont="1" applyFill="1" applyBorder="1" applyProtection="1">
      <protection locked="0"/>
    </xf>
    <xf numFmtId="176" fontId="15" fillId="13" borderId="18" xfId="0" applyNumberFormat="1" applyFont="1" applyFill="1" applyBorder="1" applyAlignment="1" applyProtection="1">
      <alignment horizontal="center" vertical="center"/>
    </xf>
    <xf numFmtId="0" fontId="15" fillId="13" borderId="1" xfId="0" applyFont="1" applyFill="1" applyBorder="1" applyAlignment="1" applyProtection="1">
      <alignment vertical="center"/>
    </xf>
    <xf numFmtId="0" fontId="15" fillId="13" borderId="9" xfId="0" applyFont="1" applyFill="1" applyBorder="1" applyAlignment="1" applyProtection="1">
      <alignment vertical="center"/>
    </xf>
    <xf numFmtId="37" fontId="3" fillId="13" borderId="9" xfId="0" applyNumberFormat="1" applyFont="1" applyFill="1" applyBorder="1" applyAlignment="1" applyProtection="1">
      <alignment horizontal="right" vertical="center"/>
    </xf>
    <xf numFmtId="0" fontId="3" fillId="12" borderId="19" xfId="0" applyFont="1" applyFill="1" applyBorder="1" applyAlignment="1" applyProtection="1">
      <alignment vertical="center"/>
    </xf>
    <xf numFmtId="176" fontId="19" fillId="12" borderId="19" xfId="0" applyNumberFormat="1" applyFont="1" applyFill="1" applyBorder="1" applyAlignment="1" applyProtection="1">
      <alignment horizontal="center" vertical="center"/>
    </xf>
    <xf numFmtId="0" fontId="3" fillId="12" borderId="15" xfId="0" applyFont="1" applyFill="1" applyBorder="1" applyAlignment="1" applyProtection="1">
      <alignment vertical="center"/>
    </xf>
    <xf numFmtId="176" fontId="19" fillId="12" borderId="19" xfId="0" applyNumberFormat="1" applyFont="1" applyFill="1" applyBorder="1" applyAlignment="1" applyProtection="1">
      <alignment vertical="center"/>
    </xf>
    <xf numFmtId="0" fontId="19" fillId="12" borderId="0" xfId="0" applyFont="1" applyFill="1" applyBorder="1" applyAlignment="1" applyProtection="1">
      <alignment vertical="center"/>
    </xf>
    <xf numFmtId="176" fontId="19" fillId="12" borderId="18" xfId="0" applyNumberFormat="1" applyFont="1" applyFill="1" applyBorder="1" applyAlignment="1" applyProtection="1">
      <alignment horizontal="center" vertical="center"/>
    </xf>
    <xf numFmtId="176" fontId="19" fillId="13" borderId="18" xfId="0" applyNumberFormat="1" applyFont="1" applyFill="1" applyBorder="1" applyAlignment="1" applyProtection="1">
      <alignment horizontal="center" vertical="center"/>
    </xf>
    <xf numFmtId="0" fontId="3" fillId="13" borderId="9" xfId="0" applyFont="1" applyFill="1" applyBorder="1" applyAlignment="1" applyProtection="1">
      <alignment vertical="center"/>
    </xf>
    <xf numFmtId="0" fontId="3" fillId="13" borderId="9" xfId="0" applyFont="1" applyFill="1" applyBorder="1" applyProtection="1">
      <protection locked="0"/>
    </xf>
    <xf numFmtId="179" fontId="3" fillId="2" borderId="2" xfId="0" applyNumberFormat="1" applyFont="1" applyFill="1" applyBorder="1" applyAlignment="1" applyProtection="1">
      <alignment vertical="center"/>
      <protection locked="0"/>
    </xf>
    <xf numFmtId="37" fontId="3" fillId="3" borderId="1" xfId="16" applyNumberFormat="1" applyFont="1" applyFill="1" applyBorder="1" applyAlignment="1" applyProtection="1">
      <alignment horizontal="left" vertical="center"/>
    </xf>
    <xf numFmtId="176" fontId="15" fillId="13" borderId="18" xfId="16" applyNumberFormat="1" applyFont="1" applyFill="1" applyBorder="1" applyAlignment="1" applyProtection="1">
      <alignment horizontal="center" vertical="center"/>
    </xf>
    <xf numFmtId="179" fontId="3" fillId="7" borderId="2" xfId="0" applyNumberFormat="1" applyFont="1" applyFill="1" applyBorder="1" applyAlignment="1" applyProtection="1">
      <alignment vertical="center"/>
      <protection locked="0"/>
    </xf>
    <xf numFmtId="37" fontId="3" fillId="3" borderId="5" xfId="13" applyNumberFormat="1" applyFont="1" applyFill="1" applyBorder="1" applyAlignment="1" applyProtection="1">
      <alignment horizontal="left" vertical="center"/>
    </xf>
    <xf numFmtId="0" fontId="4" fillId="3" borderId="0" xfId="16" applyFont="1" applyFill="1" applyAlignment="1" applyProtection="1">
      <alignment vertical="center"/>
    </xf>
    <xf numFmtId="1" fontId="3" fillId="3" borderId="10" xfId="0" applyNumberFormat="1" applyFont="1" applyFill="1" applyBorder="1" applyAlignment="1" applyProtection="1">
      <alignment horizontal="center" vertical="center"/>
    </xf>
    <xf numFmtId="37" fontId="3" fillId="3" borderId="10" xfId="0" applyNumberFormat="1" applyFont="1" applyFill="1" applyBorder="1" applyAlignment="1" applyProtection="1">
      <alignment horizontal="center" vertical="center"/>
    </xf>
    <xf numFmtId="0" fontId="26" fillId="3" borderId="0" xfId="0" applyFont="1" applyFill="1" applyAlignment="1" applyProtection="1">
      <alignment horizontal="center" vertical="center"/>
    </xf>
    <xf numFmtId="37" fontId="4" fillId="3" borderId="0" xfId="0" applyNumberFormat="1" applyFont="1" applyFill="1" applyAlignment="1" applyProtection="1">
      <alignment vertical="center"/>
    </xf>
    <xf numFmtId="0" fontId="15" fillId="3" borderId="9" xfId="0" applyFont="1" applyFill="1" applyBorder="1" applyAlignment="1" applyProtection="1">
      <alignment vertical="center"/>
    </xf>
    <xf numFmtId="0" fontId="15" fillId="0" borderId="0" xfId="16" applyFont="1" applyFill="1" applyBorder="1" applyAlignment="1" applyProtection="1">
      <alignment vertical="center"/>
    </xf>
    <xf numFmtId="176" fontId="16" fillId="0" borderId="0" xfId="16" applyNumberFormat="1" applyFont="1" applyFill="1" applyBorder="1" applyAlignment="1" applyProtection="1">
      <alignment horizontal="center" vertical="center"/>
    </xf>
    <xf numFmtId="0" fontId="16" fillId="0" borderId="0" xfId="16" applyFont="1" applyFill="1" applyBorder="1" applyAlignment="1" applyProtection="1">
      <alignment vertical="center"/>
    </xf>
    <xf numFmtId="37" fontId="15" fillId="3" borderId="2" xfId="0" applyNumberFormat="1" applyFont="1" applyFill="1" applyBorder="1" applyAlignment="1" applyProtection="1">
      <alignment horizontal="right" vertical="center"/>
    </xf>
    <xf numFmtId="178" fontId="15" fillId="3" borderId="2" xfId="0" applyNumberFormat="1" applyFont="1" applyFill="1" applyBorder="1" applyAlignment="1" applyProtection="1">
      <alignment horizontal="right" vertical="center"/>
    </xf>
    <xf numFmtId="172" fontId="3" fillId="3" borderId="2" xfId="0" applyNumberFormat="1" applyFont="1" applyFill="1" applyBorder="1" applyAlignment="1" applyProtection="1">
      <alignment horizontal="right" vertical="center"/>
    </xf>
    <xf numFmtId="0" fontId="15" fillId="3" borderId="2" xfId="0" applyFont="1" applyFill="1" applyBorder="1" applyAlignment="1" applyProtection="1">
      <alignment horizontal="right" vertical="center"/>
    </xf>
    <xf numFmtId="0" fontId="15" fillId="3" borderId="7" xfId="0" applyFont="1" applyFill="1" applyBorder="1" applyAlignment="1" applyProtection="1">
      <alignment horizontal="right" vertical="center"/>
    </xf>
    <xf numFmtId="37" fontId="15" fillId="3" borderId="12" xfId="0" applyNumberFormat="1" applyFont="1" applyFill="1" applyBorder="1" applyAlignment="1" applyProtection="1">
      <alignment horizontal="right" vertical="center"/>
    </xf>
    <xf numFmtId="172" fontId="15" fillId="3" borderId="12" xfId="0" applyNumberFormat="1" applyFont="1" applyFill="1" applyBorder="1" applyAlignment="1" applyProtection="1">
      <alignment horizontal="right" vertical="center"/>
    </xf>
    <xf numFmtId="0" fontId="3" fillId="11" borderId="0" xfId="0" applyFont="1" applyFill="1" applyProtection="1">
      <protection locked="0"/>
    </xf>
    <xf numFmtId="0" fontId="3" fillId="0" borderId="0" xfId="11" applyFont="1" applyAlignment="1">
      <alignment vertical="center" wrapText="1"/>
    </xf>
    <xf numFmtId="0" fontId="3" fillId="0" borderId="0" xfId="61" applyFont="1" applyAlignment="1">
      <alignment vertical="center"/>
    </xf>
    <xf numFmtId="37" fontId="15" fillId="3" borderId="0" xfId="0" applyNumberFormat="1" applyFont="1" applyFill="1" applyBorder="1" applyAlignment="1" applyProtection="1">
      <alignment horizontal="fill" vertical="center"/>
      <protection locked="0"/>
    </xf>
    <xf numFmtId="0" fontId="15" fillId="3" borderId="0" xfId="0" applyFont="1" applyFill="1" applyBorder="1" applyAlignment="1" applyProtection="1">
      <alignment vertical="center"/>
      <protection locked="0"/>
    </xf>
    <xf numFmtId="0" fontId="15" fillId="3" borderId="0" xfId="0" applyFont="1" applyFill="1" applyBorder="1" applyAlignment="1" applyProtection="1">
      <alignment horizontal="centerContinuous" vertical="center"/>
      <protection locked="0"/>
    </xf>
    <xf numFmtId="37" fontId="15" fillId="3" borderId="0" xfId="0" applyNumberFormat="1" applyFont="1" applyFill="1" applyBorder="1" applyAlignment="1" applyProtection="1">
      <alignment horizontal="centerContinuous" vertical="center"/>
    </xf>
    <xf numFmtId="0" fontId="3" fillId="0" borderId="0" xfId="22" applyFont="1" applyAlignment="1">
      <alignment vertical="center" wrapText="1"/>
    </xf>
    <xf numFmtId="0" fontId="3" fillId="0" borderId="0" xfId="51" applyFont="1" applyAlignment="1">
      <alignment vertical="center" wrapText="1"/>
    </xf>
    <xf numFmtId="37" fontId="19" fillId="3" borderId="8" xfId="0" applyNumberFormat="1" applyFont="1" applyFill="1" applyBorder="1" applyAlignment="1">
      <alignment vertical="center"/>
    </xf>
    <xf numFmtId="0" fontId="3" fillId="11" borderId="0" xfId="0" applyFont="1" applyFill="1" applyAlignment="1">
      <alignment vertical="center"/>
    </xf>
    <xf numFmtId="164" fontId="3" fillId="11" borderId="2" xfId="0" applyNumberFormat="1" applyFont="1" applyFill="1" applyBorder="1" applyAlignment="1" applyProtection="1">
      <alignment vertical="center"/>
      <protection locked="0"/>
    </xf>
    <xf numFmtId="0" fontId="3" fillId="17" borderId="0" xfId="0" applyFont="1" applyFill="1" applyAlignment="1">
      <alignment vertical="center"/>
    </xf>
    <xf numFmtId="37" fontId="19" fillId="3" borderId="2" xfId="0" applyNumberFormat="1" applyFont="1" applyFill="1" applyBorder="1" applyAlignment="1" applyProtection="1">
      <alignment vertical="center"/>
    </xf>
    <xf numFmtId="37" fontId="14" fillId="3" borderId="2" xfId="0" applyNumberFormat="1" applyFont="1" applyFill="1" applyBorder="1" applyAlignment="1" applyProtection="1">
      <alignment vertical="center"/>
    </xf>
    <xf numFmtId="37" fontId="62" fillId="3" borderId="2" xfId="0" applyNumberFormat="1" applyFont="1" applyFill="1" applyBorder="1" applyAlignment="1" applyProtection="1">
      <alignment vertical="center"/>
    </xf>
    <xf numFmtId="37" fontId="62" fillId="3" borderId="8" xfId="0" applyNumberFormat="1" applyFont="1" applyFill="1" applyBorder="1" applyAlignment="1">
      <alignment vertical="center"/>
    </xf>
    <xf numFmtId="37" fontId="3" fillId="0" borderId="0" xfId="0" applyNumberFormat="1" applyFont="1"/>
    <xf numFmtId="180" fontId="3" fillId="3" borderId="2" xfId="0" applyNumberFormat="1" applyFont="1" applyFill="1" applyBorder="1" applyAlignment="1" applyProtection="1">
      <alignment vertical="center"/>
    </xf>
    <xf numFmtId="180" fontId="3" fillId="3" borderId="8" xfId="0" applyNumberFormat="1" applyFont="1" applyFill="1" applyBorder="1" applyAlignment="1" applyProtection="1">
      <alignment vertical="center"/>
    </xf>
    <xf numFmtId="0" fontId="15" fillId="2" borderId="2"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19" fillId="0" borderId="0" xfId="321" applyFont="1" applyAlignment="1">
      <alignment horizontal="left" vertical="center"/>
    </xf>
    <xf numFmtId="3" fontId="63" fillId="7" borderId="4" xfId="0" applyNumberFormat="1" applyFont="1" applyFill="1" applyBorder="1" applyAlignment="1" applyProtection="1">
      <alignment vertical="center"/>
      <protection locked="0"/>
    </xf>
    <xf numFmtId="37" fontId="63" fillId="7" borderId="2" xfId="0" applyNumberFormat="1" applyFont="1" applyFill="1" applyBorder="1" applyAlignment="1" applyProtection="1">
      <alignment vertical="center"/>
      <protection locked="0"/>
    </xf>
    <xf numFmtId="37" fontId="64" fillId="7" borderId="2" xfId="0" applyNumberFormat="1" applyFont="1" applyFill="1" applyBorder="1" applyAlignment="1" applyProtection="1">
      <alignment vertical="center"/>
      <protection locked="0"/>
    </xf>
    <xf numFmtId="3" fontId="3" fillId="0" borderId="0" xfId="0" applyNumberFormat="1" applyFont="1" applyProtection="1">
      <protection locked="0"/>
    </xf>
    <xf numFmtId="164" fontId="3" fillId="0" borderId="0" xfId="0" applyNumberFormat="1" applyFont="1" applyAlignment="1">
      <alignment vertical="center"/>
    </xf>
    <xf numFmtId="37" fontId="3" fillId="2" borderId="2" xfId="0" applyNumberFormat="1" applyFont="1" applyFill="1" applyBorder="1" applyAlignment="1" applyProtection="1">
      <alignment horizontal="left"/>
      <protection locked="0"/>
    </xf>
    <xf numFmtId="37" fontId="3" fillId="2" borderId="2" xfId="0" quotePrefix="1" applyNumberFormat="1" applyFont="1" applyFill="1" applyBorder="1" applyProtection="1">
      <protection locked="0"/>
    </xf>
    <xf numFmtId="37" fontId="3" fillId="5" borderId="0" xfId="0" applyNumberFormat="1" applyFont="1" applyFill="1" applyAlignment="1" applyProtection="1">
      <alignment horizontal="center" vertical="center" wrapText="1"/>
    </xf>
    <xf numFmtId="0" fontId="0" fillId="5" borderId="1" xfId="0" applyFill="1" applyBorder="1" applyAlignment="1">
      <alignment horizontal="center" vertical="center" wrapText="1"/>
    </xf>
    <xf numFmtId="37" fontId="22" fillId="3" borderId="0" xfId="0" applyNumberFormat="1" applyFont="1" applyFill="1" applyAlignment="1" applyProtection="1">
      <alignment horizontal="center" vertical="center"/>
    </xf>
    <xf numFmtId="0" fontId="23"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1" fillId="0" borderId="0" xfId="0" applyFont="1" applyAlignment="1">
      <alignment horizontal="center" vertical="center"/>
    </xf>
    <xf numFmtId="0" fontId="3" fillId="3" borderId="0" xfId="0" applyFont="1" applyFill="1" applyBorder="1" applyAlignment="1" applyProtection="1">
      <alignment vertical="center" wrapText="1"/>
    </xf>
    <xf numFmtId="0" fontId="4" fillId="5" borderId="0" xfId="0" applyFont="1" applyFill="1" applyBorder="1" applyAlignment="1">
      <alignment horizontal="center" vertical="center"/>
    </xf>
    <xf numFmtId="0" fontId="1" fillId="5" borderId="0" xfId="0" applyFont="1" applyFill="1" applyBorder="1" applyAlignment="1">
      <alignment horizontal="center" vertical="center"/>
    </xf>
    <xf numFmtId="0" fontId="3" fillId="5" borderId="7" xfId="0" applyFont="1" applyFill="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21" fillId="3" borderId="0" xfId="0" applyFont="1" applyFill="1" applyBorder="1" applyAlignment="1">
      <alignment vertical="center"/>
    </xf>
    <xf numFmtId="0" fontId="27" fillId="0" borderId="0" xfId="0" applyFont="1" applyAlignment="1">
      <alignment vertical="center"/>
    </xf>
    <xf numFmtId="0" fontId="3" fillId="0" borderId="0" xfId="319" applyFont="1" applyAlignment="1">
      <alignment horizontal="left" vertical="center" wrapText="1"/>
    </xf>
    <xf numFmtId="0" fontId="39" fillId="0" borderId="0" xfId="319" applyFont="1" applyAlignment="1">
      <alignment horizontal="left" vertical="center" wrapText="1"/>
    </xf>
    <xf numFmtId="0" fontId="20" fillId="0" borderId="0" xfId="319" applyFont="1" applyAlignment="1">
      <alignment horizontal="left" vertical="center"/>
    </xf>
    <xf numFmtId="37" fontId="15" fillId="0" borderId="0" xfId="0" applyNumberFormat="1" applyFont="1" applyAlignment="1" applyProtection="1">
      <alignment horizontal="center" vertical="center"/>
      <protection locked="0"/>
    </xf>
    <xf numFmtId="37" fontId="16" fillId="3" borderId="0" xfId="0" applyNumberFormat="1" applyFont="1" applyFill="1" applyAlignment="1" applyProtection="1">
      <alignment horizontal="center" vertical="center"/>
    </xf>
    <xf numFmtId="37" fontId="15" fillId="3" borderId="7" xfId="0" applyNumberFormat="1" applyFont="1" applyFill="1" applyBorder="1" applyAlignment="1" applyProtection="1">
      <alignment horizontal="center" vertical="center" wrapText="1"/>
    </xf>
    <xf numFmtId="0" fontId="17" fillId="0" borderId="8" xfId="0" applyFont="1" applyBorder="1" applyAlignment="1">
      <alignment horizontal="center" vertical="center" wrapText="1"/>
    </xf>
    <xf numFmtId="37" fontId="25" fillId="3" borderId="0" xfId="0" applyNumberFormat="1" applyFont="1" applyFill="1" applyAlignment="1" applyProtection="1">
      <alignment horizontal="center" vertical="center"/>
    </xf>
    <xf numFmtId="0" fontId="40" fillId="0" borderId="0" xfId="0" applyFont="1" applyAlignment="1">
      <alignment horizontal="center" vertical="center"/>
    </xf>
    <xf numFmtId="37" fontId="15" fillId="3" borderId="0" xfId="0" applyNumberFormat="1" applyFont="1" applyFill="1" applyAlignment="1" applyProtection="1">
      <alignment horizontal="center" vertical="center"/>
    </xf>
    <xf numFmtId="0" fontId="0" fillId="0" borderId="0" xfId="0" applyAlignment="1">
      <alignment horizontal="center" vertical="center"/>
    </xf>
    <xf numFmtId="0" fontId="0" fillId="0" borderId="0" xfId="0" applyAlignment="1">
      <alignment vertical="center"/>
    </xf>
    <xf numFmtId="37" fontId="15" fillId="3" borderId="4" xfId="0" applyNumberFormat="1" applyFont="1" applyFill="1" applyBorder="1" applyAlignment="1" applyProtection="1">
      <alignment horizontal="fill" vertical="center"/>
    </xf>
    <xf numFmtId="0" fontId="0" fillId="0" borderId="6" xfId="0" applyBorder="1" applyAlignment="1">
      <alignment vertical="center"/>
    </xf>
    <xf numFmtId="0" fontId="15" fillId="3" borderId="0" xfId="0" applyFont="1" applyFill="1" applyAlignment="1" applyProtection="1">
      <alignment horizontal="center" vertical="center"/>
    </xf>
    <xf numFmtId="0" fontId="15" fillId="5" borderId="7" xfId="0" applyFont="1" applyFill="1" applyBorder="1" applyAlignment="1" applyProtection="1">
      <alignment horizontal="center" vertical="center" wrapText="1"/>
    </xf>
    <xf numFmtId="0" fontId="0" fillId="0" borderId="8" xfId="0" applyBorder="1" applyAlignment="1">
      <alignment vertical="center" wrapText="1"/>
    </xf>
    <xf numFmtId="37" fontId="3" fillId="3" borderId="7" xfId="0" applyNumberFormat="1" applyFont="1" applyFill="1" applyBorder="1" applyAlignment="1" applyProtection="1">
      <alignment horizontal="center" vertical="center" wrapText="1"/>
    </xf>
    <xf numFmtId="0" fontId="6" fillId="3" borderId="0" xfId="0" applyFont="1" applyFill="1" applyAlignment="1" applyProtection="1">
      <alignment horizontal="center" vertical="center"/>
    </xf>
    <xf numFmtId="0" fontId="4" fillId="3" borderId="0" xfId="0" applyFont="1" applyFill="1" applyAlignment="1" applyProtection="1">
      <alignment horizontal="center" vertical="center"/>
    </xf>
    <xf numFmtId="37" fontId="3" fillId="3" borderId="7" xfId="0" applyNumberFormat="1" applyFont="1" applyFill="1" applyBorder="1" applyAlignment="1" applyProtection="1">
      <alignment horizontal="center" wrapText="1"/>
    </xf>
    <xf numFmtId="0" fontId="0" fillId="0" borderId="8" xfId="0" applyBorder="1" applyAlignment="1">
      <alignment horizontal="center" wrapText="1"/>
    </xf>
    <xf numFmtId="37" fontId="3" fillId="3" borderId="4" xfId="0" applyNumberFormat="1"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37" fontId="4" fillId="3" borderId="0" xfId="0" applyNumberFormat="1" applyFont="1" applyFill="1" applyAlignment="1" applyProtection="1">
      <alignment horizontal="center"/>
    </xf>
    <xf numFmtId="0" fontId="3" fillId="3" borderId="18" xfId="0" applyFont="1" applyFill="1" applyBorder="1" applyAlignment="1" applyProtection="1">
      <alignment horizontal="center" vertical="center"/>
    </xf>
    <xf numFmtId="0" fontId="0" fillId="0" borderId="9" xfId="0" applyBorder="1" applyAlignment="1" applyProtection="1">
      <alignment vertical="center"/>
    </xf>
    <xf numFmtId="1" fontId="3" fillId="3" borderId="18" xfId="0" applyNumberFormat="1" applyFont="1" applyFill="1" applyBorder="1" applyAlignment="1" applyProtection="1">
      <alignment horizontal="center" vertical="center"/>
    </xf>
    <xf numFmtId="0" fontId="0" fillId="0" borderId="9" xfId="0" applyBorder="1" applyAlignment="1" applyProtection="1">
      <alignment horizontal="center" vertical="center"/>
    </xf>
    <xf numFmtId="3" fontId="3" fillId="3" borderId="13" xfId="28" applyNumberFormat="1" applyFont="1" applyFill="1" applyBorder="1" applyAlignment="1" applyProtection="1">
      <alignment horizontal="right" vertical="center"/>
    </xf>
    <xf numFmtId="0" fontId="2" fillId="0" borderId="11" xfId="28" applyBorder="1" applyAlignment="1">
      <alignment horizontal="right" vertical="center"/>
    </xf>
    <xf numFmtId="0" fontId="3" fillId="3" borderId="0" xfId="28" applyFont="1" applyFill="1" applyAlignment="1" applyProtection="1">
      <alignment horizontal="right" vertical="center"/>
    </xf>
    <xf numFmtId="0" fontId="3" fillId="0" borderId="15" xfId="28" applyFont="1" applyBorder="1" applyAlignment="1">
      <alignment horizontal="right" vertical="center"/>
    </xf>
    <xf numFmtId="0" fontId="25" fillId="3" borderId="10" xfId="16" applyFont="1" applyFill="1" applyBorder="1" applyAlignment="1" applyProtection="1">
      <alignment horizontal="center" vertical="center"/>
    </xf>
    <xf numFmtId="0" fontId="46" fillId="0" borderId="13" xfId="16" applyFont="1" applyBorder="1" applyAlignment="1" applyProtection="1">
      <alignment horizontal="center" vertical="center"/>
    </xf>
    <xf numFmtId="0" fontId="2" fillId="0" borderId="11" xfId="16" applyBorder="1" applyAlignment="1" applyProtection="1">
      <alignment vertical="center"/>
    </xf>
    <xf numFmtId="0" fontId="3" fillId="3" borderId="0" xfId="0" applyFont="1" applyFill="1" applyAlignment="1" applyProtection="1">
      <alignment horizontal="center" vertical="center"/>
    </xf>
    <xf numFmtId="0" fontId="3" fillId="3" borderId="0" xfId="0" applyNumberFormat="1" applyFont="1" applyFill="1" applyBorder="1" applyAlignment="1" applyProtection="1">
      <alignment horizontal="right" vertical="center"/>
    </xf>
    <xf numFmtId="0" fontId="0" fillId="0" borderId="0" xfId="0" applyAlignment="1">
      <alignment horizontal="right" vertical="center"/>
    </xf>
    <xf numFmtId="0" fontId="25" fillId="12" borderId="10" xfId="0" applyFont="1" applyFill="1" applyBorder="1" applyAlignment="1" applyProtection="1">
      <alignment horizontal="center" vertical="center"/>
    </xf>
    <xf numFmtId="0" fontId="0" fillId="0" borderId="13" xfId="0" applyBorder="1" applyAlignment="1">
      <alignment vertical="center"/>
    </xf>
    <xf numFmtId="0" fontId="0" fillId="0" borderId="11" xfId="0" applyBorder="1" applyAlignment="1">
      <alignment vertical="center"/>
    </xf>
    <xf numFmtId="173" fontId="25" fillId="12" borderId="10" xfId="0" applyNumberFormat="1" applyFont="1" applyFill="1" applyBorder="1" applyAlignment="1" applyProtection="1">
      <alignment horizontal="center"/>
    </xf>
    <xf numFmtId="0" fontId="23" fillId="0" borderId="13" xfId="0" applyFont="1" applyBorder="1" applyAlignment="1"/>
    <xf numFmtId="0" fontId="23" fillId="0" borderId="11" xfId="0" applyFont="1" applyBorder="1" applyAlignment="1"/>
    <xf numFmtId="37" fontId="3" fillId="3" borderId="0" xfId="0" applyNumberFormat="1" applyFont="1" applyFill="1" applyAlignment="1" applyProtection="1">
      <alignment horizontal="center" vertical="center"/>
    </xf>
    <xf numFmtId="0" fontId="0" fillId="0" borderId="13" xfId="0" applyBorder="1" applyAlignment="1">
      <alignment horizontal="center" vertical="center"/>
    </xf>
    <xf numFmtId="0" fontId="0" fillId="0" borderId="11" xfId="0" applyBorder="1" applyAlignment="1"/>
    <xf numFmtId="0" fontId="17" fillId="0" borderId="13" xfId="0" applyFont="1" applyBorder="1" applyAlignment="1">
      <alignment horizontal="center" vertical="center"/>
    </xf>
    <xf numFmtId="0" fontId="19" fillId="3" borderId="4" xfId="0" applyFont="1" applyFill="1" applyBorder="1" applyAlignment="1">
      <alignment horizontal="center" vertical="center"/>
    </xf>
    <xf numFmtId="0" fontId="19" fillId="3" borderId="6"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37" fontId="3" fillId="12" borderId="0" xfId="0" applyNumberFormat="1" applyFont="1" applyFill="1" applyAlignment="1" applyProtection="1">
      <alignment horizontal="center" vertical="center"/>
    </xf>
    <xf numFmtId="0" fontId="20" fillId="12" borderId="10" xfId="25" applyFont="1" applyFill="1" applyBorder="1" applyAlignment="1" applyProtection="1">
      <alignment horizontal="center"/>
    </xf>
    <xf numFmtId="0" fontId="20" fillId="12" borderId="13" xfId="25" applyFont="1" applyFill="1" applyBorder="1" applyAlignment="1" applyProtection="1">
      <alignment horizontal="center"/>
    </xf>
    <xf numFmtId="0" fontId="20" fillId="12" borderId="11" xfId="25" applyFont="1" applyFill="1" applyBorder="1" applyAlignment="1" applyProtection="1">
      <alignment horizontal="center"/>
    </xf>
    <xf numFmtId="0" fontId="2" fillId="0" borderId="13" xfId="25" applyBorder="1" applyAlignment="1" applyProtection="1">
      <alignment horizontal="center"/>
    </xf>
    <xf numFmtId="0" fontId="2" fillId="0" borderId="11" xfId="25" applyBorder="1" applyAlignment="1" applyProtection="1">
      <alignment horizontal="center"/>
    </xf>
    <xf numFmtId="37" fontId="20" fillId="3" borderId="0" xfId="0" applyNumberFormat="1" applyFont="1" applyFill="1" applyAlignment="1" applyProtection="1">
      <alignment horizontal="center" vertical="center"/>
    </xf>
    <xf numFmtId="37" fontId="3" fillId="3" borderId="1" xfId="0" applyNumberFormat="1" applyFont="1" applyFill="1" applyBorder="1" applyAlignment="1" applyProtection="1">
      <alignment horizontal="center" vertical="center"/>
      <protection locked="0"/>
    </xf>
    <xf numFmtId="0" fontId="0" fillId="0" borderId="13" xfId="0" applyBorder="1" applyAlignment="1">
      <alignment horizontal="center"/>
    </xf>
    <xf numFmtId="0" fontId="0" fillId="0" borderId="11" xfId="0" applyBorder="1" applyAlignment="1">
      <alignment horizontal="center"/>
    </xf>
    <xf numFmtId="0" fontId="3" fillId="3" borderId="0" xfId="0" applyFont="1" applyFill="1" applyAlignment="1">
      <alignment horizontal="right" vertical="center"/>
    </xf>
    <xf numFmtId="0" fontId="0" fillId="0" borderId="0" xfId="0" applyAlignment="1" applyProtection="1">
      <alignment vertical="center"/>
    </xf>
    <xf numFmtId="0" fontId="3" fillId="3" borderId="0" xfId="0" applyFont="1" applyFill="1" applyAlignment="1" applyProtection="1">
      <alignment horizontal="right" vertical="center"/>
    </xf>
    <xf numFmtId="0" fontId="11" fillId="0" borderId="0" xfId="0" applyFont="1" applyAlignment="1">
      <alignment horizontal="center" vertical="top"/>
    </xf>
    <xf numFmtId="0" fontId="12" fillId="0" borderId="0" xfId="0" applyFont="1" applyAlignment="1">
      <alignment horizontal="center" vertical="top"/>
    </xf>
    <xf numFmtId="0" fontId="7" fillId="0" borderId="0" xfId="0" applyFont="1" applyAlignment="1">
      <alignment horizontal="left" wrapText="1"/>
    </xf>
    <xf numFmtId="0" fontId="7" fillId="0" borderId="0" xfId="0" applyFont="1" applyAlignment="1">
      <alignment vertical="top" wrapText="1"/>
    </xf>
    <xf numFmtId="0" fontId="7" fillId="0" borderId="0" xfId="0" applyFont="1" applyAlignment="1">
      <alignment horizontal="center"/>
    </xf>
    <xf numFmtId="172" fontId="49" fillId="11" borderId="1" xfId="0" applyNumberFormat="1" applyFont="1" applyFill="1" applyBorder="1" applyAlignment="1" applyProtection="1">
      <alignment horizontal="center"/>
      <protection locked="0"/>
    </xf>
    <xf numFmtId="177" fontId="49" fillId="12" borderId="0" xfId="0" applyNumberFormat="1" applyFont="1" applyFill="1" applyBorder="1" applyAlignment="1">
      <alignment horizontal="center"/>
    </xf>
    <xf numFmtId="177" fontId="49" fillId="0" borderId="23" xfId="0" applyNumberFormat="1" applyFont="1" applyBorder="1" applyAlignment="1">
      <alignment horizontal="center"/>
    </xf>
    <xf numFmtId="5" fontId="49" fillId="12" borderId="1" xfId="0" applyNumberFormat="1" applyFont="1" applyFill="1" applyBorder="1" applyAlignment="1">
      <alignment horizontal="center"/>
    </xf>
    <xf numFmtId="176" fontId="49" fillId="12" borderId="0" xfId="0" applyNumberFormat="1" applyFont="1" applyFill="1" applyBorder="1" applyAlignment="1">
      <alignment horizontal="center"/>
    </xf>
    <xf numFmtId="0" fontId="49" fillId="12" borderId="13" xfId="0" applyFont="1" applyFill="1" applyBorder="1" applyAlignment="1">
      <alignment horizontal="center"/>
    </xf>
    <xf numFmtId="0" fontId="49" fillId="12" borderId="22" xfId="0" applyFont="1" applyFill="1" applyBorder="1" applyAlignment="1">
      <alignment vertical="top" wrapText="1"/>
    </xf>
    <xf numFmtId="0" fontId="49" fillId="0" borderId="0" xfId="0" applyFont="1" applyAlignment="1">
      <alignment vertical="top" wrapText="1"/>
    </xf>
    <xf numFmtId="0" fontId="49" fillId="0" borderId="23" xfId="0" applyFont="1" applyBorder="1" applyAlignment="1">
      <alignment vertical="top" wrapText="1"/>
    </xf>
    <xf numFmtId="0" fontId="49" fillId="0" borderId="23" xfId="0" applyFont="1" applyBorder="1" applyAlignment="1">
      <alignment horizontal="center"/>
    </xf>
    <xf numFmtId="0" fontId="55" fillId="12" borderId="0" xfId="0" applyFont="1" applyFill="1" applyBorder="1" applyAlignment="1">
      <alignment horizontal="center" wrapText="1"/>
    </xf>
    <xf numFmtId="0" fontId="55" fillId="0" borderId="0" xfId="0" applyFont="1" applyAlignment="1">
      <alignment horizontal="center" wrapText="1"/>
    </xf>
    <xf numFmtId="0" fontId="55" fillId="12" borderId="0" xfId="0" applyFont="1" applyFill="1" applyAlignment="1">
      <alignment horizontal="center" wrapText="1"/>
    </xf>
    <xf numFmtId="0" fontId="49" fillId="0" borderId="0" xfId="0" applyFont="1" applyAlignment="1">
      <alignment horizontal="center" wrapText="1"/>
    </xf>
    <xf numFmtId="176" fontId="49" fillId="11" borderId="1" xfId="0" applyNumberFormat="1" applyFont="1" applyFill="1" applyBorder="1" applyAlignment="1" applyProtection="1">
      <alignment horizontal="center"/>
      <protection locked="0"/>
    </xf>
    <xf numFmtId="0" fontId="55" fillId="12" borderId="24" xfId="0" applyFont="1" applyFill="1" applyBorder="1" applyAlignment="1">
      <alignment horizontal="center" vertical="center"/>
    </xf>
    <xf numFmtId="0" fontId="49" fillId="12" borderId="0" xfId="0" applyFont="1" applyFill="1" applyAlignment="1">
      <alignment wrapText="1"/>
    </xf>
    <xf numFmtId="0" fontId="49" fillId="0" borderId="24" xfId="0" applyFont="1" applyBorder="1" applyAlignment="1">
      <alignment horizontal="center" vertical="center"/>
    </xf>
    <xf numFmtId="0" fontId="55" fillId="12" borderId="0" xfId="0" applyFont="1" applyFill="1" applyAlignment="1">
      <alignment horizontal="center"/>
    </xf>
    <xf numFmtId="0" fontId="49" fillId="0" borderId="0" xfId="0" applyFont="1" applyAlignment="1">
      <alignment wrapText="1"/>
    </xf>
    <xf numFmtId="176" fontId="49" fillId="11" borderId="26" xfId="0" applyNumberFormat="1" applyFont="1" applyFill="1" applyBorder="1" applyAlignment="1" applyProtection="1">
      <alignment horizontal="center"/>
      <protection locked="0"/>
    </xf>
    <xf numFmtId="0" fontId="49" fillId="12" borderId="0" xfId="0" applyFont="1" applyFill="1" applyBorder="1" applyAlignment="1"/>
    <xf numFmtId="0" fontId="49" fillId="0" borderId="0" xfId="0" applyFont="1" applyBorder="1" applyAlignment="1"/>
    <xf numFmtId="0" fontId="49" fillId="12" borderId="28" xfId="0" applyFont="1" applyFill="1" applyBorder="1" applyAlignment="1"/>
    <xf numFmtId="0" fontId="49" fillId="12" borderId="29" xfId="0" applyFont="1" applyFill="1" applyBorder="1" applyAlignment="1"/>
    <xf numFmtId="0" fontId="55" fillId="12" borderId="0" xfId="0" applyFont="1" applyFill="1" applyAlignment="1">
      <alignment horizontal="center" vertical="center"/>
    </xf>
    <xf numFmtId="0" fontId="55" fillId="0" borderId="0" xfId="0" applyFont="1" applyAlignment="1">
      <alignment horizontal="center" vertical="center"/>
    </xf>
    <xf numFmtId="176" fontId="49" fillId="12" borderId="0" xfId="0" applyNumberFormat="1" applyFont="1" applyFill="1" applyAlignment="1"/>
    <xf numFmtId="176" fontId="49" fillId="12" borderId="0" xfId="0" applyNumberFormat="1" applyFont="1" applyFill="1" applyAlignment="1">
      <alignment horizontal="center"/>
    </xf>
    <xf numFmtId="0" fontId="49" fillId="12" borderId="0" xfId="0" applyFont="1" applyFill="1" applyBorder="1" applyAlignment="1">
      <alignment wrapText="1"/>
    </xf>
    <xf numFmtId="0" fontId="49" fillId="12" borderId="0" xfId="0" applyFont="1" applyFill="1" applyBorder="1" applyAlignment="1">
      <alignment horizontal="center"/>
    </xf>
  </cellXfs>
  <cellStyles count="342">
    <cellStyle name="Comma" xfId="1" builtinId="3"/>
    <cellStyle name="Comma 11 2" xfId="2"/>
    <cellStyle name="Comma 16" xfId="3"/>
    <cellStyle name="Comma 16 2" xfId="4"/>
    <cellStyle name="Comma 16 3" xfId="5"/>
    <cellStyle name="Hyperlink 3" xfId="6"/>
    <cellStyle name="Hyperlink 3 2" xfId="7"/>
    <cellStyle name="Hyperlink 7" xfId="8"/>
    <cellStyle name="Hyperlink 7 2" xfId="9"/>
    <cellStyle name="Normal" xfId="0" builtinId="0"/>
    <cellStyle name="Normal 10" xfId="10"/>
    <cellStyle name="Normal 10 2" xfId="11"/>
    <cellStyle name="Normal 10 2 2" xfId="12"/>
    <cellStyle name="Normal 10 2 2 2" xfId="13"/>
    <cellStyle name="Normal 10 3" xfId="14"/>
    <cellStyle name="Normal 10 4" xfId="15"/>
    <cellStyle name="Normal 10 5" xfId="16"/>
    <cellStyle name="Normal 10 6" xfId="17"/>
    <cellStyle name="Normal 11" xfId="18"/>
    <cellStyle name="Normal 11 2" xfId="19"/>
    <cellStyle name="Normal 11 2 2" xfId="20"/>
    <cellStyle name="Normal 11 3" xfId="21"/>
    <cellStyle name="Normal 11 4" xfId="22"/>
    <cellStyle name="Normal 11 5" xfId="23"/>
    <cellStyle name="Normal 12" xfId="24"/>
    <cellStyle name="Normal 12 10" xfId="25"/>
    <cellStyle name="Normal 12 11" xfId="26"/>
    <cellStyle name="Normal 12 12" xfId="27"/>
    <cellStyle name="Normal 12 2" xfId="28"/>
    <cellStyle name="Normal 12 2 2" xfId="29"/>
    <cellStyle name="Normal 12 3" xfId="30"/>
    <cellStyle name="Normal 12 4" xfId="31"/>
    <cellStyle name="Normal 12 5" xfId="32"/>
    <cellStyle name="Normal 12 6" xfId="33"/>
    <cellStyle name="Normal 12 7" xfId="34"/>
    <cellStyle name="Normal 12 8" xfId="35"/>
    <cellStyle name="Normal 12 9" xfId="36"/>
    <cellStyle name="Normal 13" xfId="37"/>
    <cellStyle name="Normal 13 10" xfId="38"/>
    <cellStyle name="Normal 13 11" xfId="39"/>
    <cellStyle name="Normal 13 12" xfId="40"/>
    <cellStyle name="Normal 13 2" xfId="41"/>
    <cellStyle name="Normal 13 2 2" xfId="42"/>
    <cellStyle name="Normal 13 3" xfId="43"/>
    <cellStyle name="Normal 13 4" xfId="44"/>
    <cellStyle name="Normal 13 5" xfId="45"/>
    <cellStyle name="Normal 13 6" xfId="46"/>
    <cellStyle name="Normal 13 7" xfId="47"/>
    <cellStyle name="Normal 13 8" xfId="48"/>
    <cellStyle name="Normal 13 9" xfId="49"/>
    <cellStyle name="Normal 14" xfId="50"/>
    <cellStyle name="Normal 14 2" xfId="51"/>
    <cellStyle name="Normal 14 3" xfId="52"/>
    <cellStyle name="Normal 14 4" xfId="53"/>
    <cellStyle name="Normal 14 5" xfId="54"/>
    <cellStyle name="Normal 14 6" xfId="55"/>
    <cellStyle name="Normal 15" xfId="56"/>
    <cellStyle name="Normal 15 2" xfId="57"/>
    <cellStyle name="Normal 15 3" xfId="58"/>
    <cellStyle name="Normal 15 4" xfId="59"/>
    <cellStyle name="Normal 16" xfId="60"/>
    <cellStyle name="Normal 16 2" xfId="61"/>
    <cellStyle name="Normal 16 3" xfId="62"/>
    <cellStyle name="Normal 16 4" xfId="63"/>
    <cellStyle name="Normal 17" xfId="64"/>
    <cellStyle name="Normal 17 2" xfId="65"/>
    <cellStyle name="Normal 17 3" xfId="66"/>
    <cellStyle name="Normal 17 4" xfId="67"/>
    <cellStyle name="Normal 18" xfId="68"/>
    <cellStyle name="Normal 18 2" xfId="69"/>
    <cellStyle name="Normal 18 2 2" xfId="70"/>
    <cellStyle name="Normal 18 2 3" xfId="71"/>
    <cellStyle name="Normal 18 3" xfId="72"/>
    <cellStyle name="Normal 18 4" xfId="73"/>
    <cellStyle name="Normal 18 5" xfId="74"/>
    <cellStyle name="Normal 18 6" xfId="75"/>
    <cellStyle name="Normal 18 7" xfId="76"/>
    <cellStyle name="Normal 19" xfId="77"/>
    <cellStyle name="Normal 19 2" xfId="78"/>
    <cellStyle name="Normal 19 2 2" xfId="79"/>
    <cellStyle name="Normal 19 2 3" xfId="80"/>
    <cellStyle name="Normal 19 3" xfId="81"/>
    <cellStyle name="Normal 19 4" xfId="82"/>
    <cellStyle name="Normal 19 5" xfId="83"/>
    <cellStyle name="Normal 19 6" xfId="84"/>
    <cellStyle name="Normal 2 10" xfId="85"/>
    <cellStyle name="Normal 2 10 10" xfId="86"/>
    <cellStyle name="Normal 2 10 2" xfId="87"/>
    <cellStyle name="Normal 2 10 2 2" xfId="88"/>
    <cellStyle name="Normal 2 10 3" xfId="89"/>
    <cellStyle name="Normal 2 10 3 2" xfId="90"/>
    <cellStyle name="Normal 2 10 4" xfId="91"/>
    <cellStyle name="Normal 2 10 4 2" xfId="92"/>
    <cellStyle name="Normal 2 10 5" xfId="93"/>
    <cellStyle name="Normal 2 10 5 2" xfId="94"/>
    <cellStyle name="Normal 2 10 6" xfId="95"/>
    <cellStyle name="Normal 2 10 6 2" xfId="96"/>
    <cellStyle name="Normal 2 10 7" xfId="97"/>
    <cellStyle name="Normal 2 10 7 2" xfId="98"/>
    <cellStyle name="Normal 2 10 8" xfId="99"/>
    <cellStyle name="Normal 2 10 8 2" xfId="100"/>
    <cellStyle name="Normal 2 10 9" xfId="101"/>
    <cellStyle name="Normal 2 11" xfId="102"/>
    <cellStyle name="Normal 2 11 10" xfId="103"/>
    <cellStyle name="Normal 2 11 2" xfId="104"/>
    <cellStyle name="Normal 2 11 2 2" xfId="105"/>
    <cellStyle name="Normal 2 11 3" xfId="106"/>
    <cellStyle name="Normal 2 11 3 2" xfId="107"/>
    <cellStyle name="Normal 2 11 4" xfId="108"/>
    <cellStyle name="Normal 2 11 4 2" xfId="109"/>
    <cellStyle name="Normal 2 11 5" xfId="110"/>
    <cellStyle name="Normal 2 11 5 2" xfId="111"/>
    <cellStyle name="Normal 2 11 6" xfId="112"/>
    <cellStyle name="Normal 2 11 6 2" xfId="113"/>
    <cellStyle name="Normal 2 11 7" xfId="114"/>
    <cellStyle name="Normal 2 11 7 2" xfId="115"/>
    <cellStyle name="Normal 2 11 8" xfId="116"/>
    <cellStyle name="Normal 2 11 8 2" xfId="117"/>
    <cellStyle name="Normal 2 11 9" xfId="118"/>
    <cellStyle name="Normal 2 12" xfId="119"/>
    <cellStyle name="Normal 2 13" xfId="120"/>
    <cellStyle name="Normal 2 14" xfId="121"/>
    <cellStyle name="Normal 2 15" xfId="122"/>
    <cellStyle name="Normal 2 16" xfId="123"/>
    <cellStyle name="Normal 2 2" xfId="124"/>
    <cellStyle name="Normal 2 2 10" xfId="125"/>
    <cellStyle name="Normal 2 2 10 2" xfId="126"/>
    <cellStyle name="Normal 2 2 11" xfId="127"/>
    <cellStyle name="Normal 2 2 11 2" xfId="128"/>
    <cellStyle name="Normal 2 2 12" xfId="129"/>
    <cellStyle name="Normal 2 2 12 2" xfId="130"/>
    <cellStyle name="Normal 2 2 13" xfId="131"/>
    <cellStyle name="Normal 2 2 13 2" xfId="132"/>
    <cellStyle name="Normal 2 2 14" xfId="133"/>
    <cellStyle name="Normal 2 2 14 2" xfId="134"/>
    <cellStyle name="Normal 2 2 15" xfId="135"/>
    <cellStyle name="Normal 2 2 15 2" xfId="136"/>
    <cellStyle name="Normal 2 2 16" xfId="137"/>
    <cellStyle name="Normal 2 2 17" xfId="138"/>
    <cellStyle name="Normal 2 2 18" xfId="139"/>
    <cellStyle name="Normal 2 2 19" xfId="140"/>
    <cellStyle name="Normal 2 2 2" xfId="141"/>
    <cellStyle name="Normal 2 2 2 2" xfId="142"/>
    <cellStyle name="Normal 2 2 2 2 2" xfId="143"/>
    <cellStyle name="Normal 2 2 2 3" xfId="144"/>
    <cellStyle name="Normal 2 2 2 3 2" xfId="145"/>
    <cellStyle name="Normal 2 2 2 4" xfId="146"/>
    <cellStyle name="Normal 2 2 2 4 2" xfId="147"/>
    <cellStyle name="Normal 2 2 2 5" xfId="148"/>
    <cellStyle name="Normal 2 2 2 5 2" xfId="149"/>
    <cellStyle name="Normal 2 2 2 6" xfId="150"/>
    <cellStyle name="Normal 2 2 2 6 2" xfId="151"/>
    <cellStyle name="Normal 2 2 2 7" xfId="152"/>
    <cellStyle name="Normal 2 2 2 8" xfId="153"/>
    <cellStyle name="Normal 2 2 20" xfId="154"/>
    <cellStyle name="Normal 2 2 21" xfId="155"/>
    <cellStyle name="Normal 2 2 3" xfId="156"/>
    <cellStyle name="Normal 2 2 3 2" xfId="157"/>
    <cellStyle name="Normal 2 2 4" xfId="158"/>
    <cellStyle name="Normal 2 2 4 2" xfId="159"/>
    <cellStyle name="Normal 2 2 5" xfId="160"/>
    <cellStyle name="Normal 2 2 5 2" xfId="161"/>
    <cellStyle name="Normal 2 2 6" xfId="162"/>
    <cellStyle name="Normal 2 2 6 2" xfId="163"/>
    <cellStyle name="Normal 2 2 7" xfId="164"/>
    <cellStyle name="Normal 2 2 7 2" xfId="165"/>
    <cellStyle name="Normal 2 2 8" xfId="166"/>
    <cellStyle name="Normal 2 2 8 2" xfId="167"/>
    <cellStyle name="Normal 2 2 9" xfId="168"/>
    <cellStyle name="Normal 2 2 9 2" xfId="169"/>
    <cellStyle name="Normal 2 3" xfId="170"/>
    <cellStyle name="Normal 2 3 10" xfId="171"/>
    <cellStyle name="Normal 2 3 11" xfId="172"/>
    <cellStyle name="Normal 2 3 12" xfId="173"/>
    <cellStyle name="Normal 2 3 13" xfId="174"/>
    <cellStyle name="Normal 2 3 14" xfId="175"/>
    <cellStyle name="Normal 2 3 2" xfId="176"/>
    <cellStyle name="Normal 2 3 2 2" xfId="177"/>
    <cellStyle name="Normal 2 3 3" xfId="178"/>
    <cellStyle name="Normal 2 3 3 2" xfId="179"/>
    <cellStyle name="Normal 2 3 3 3" xfId="180"/>
    <cellStyle name="Normal 2 3 4" xfId="181"/>
    <cellStyle name="Normal 2 3 5" xfId="182"/>
    <cellStyle name="Normal 2 3 6" xfId="183"/>
    <cellStyle name="Normal 2 3 7" xfId="184"/>
    <cellStyle name="Normal 2 3 8" xfId="185"/>
    <cellStyle name="Normal 2 3 9" xfId="186"/>
    <cellStyle name="Normal 2 4" xfId="187"/>
    <cellStyle name="Normal 2 4 10" xfId="188"/>
    <cellStyle name="Normal 2 4 11" xfId="189"/>
    <cellStyle name="Normal 2 4 2" xfId="190"/>
    <cellStyle name="Normal 2 4 2 2" xfId="191"/>
    <cellStyle name="Normal 2 4 3" xfId="192"/>
    <cellStyle name="Normal 2 4 3 2" xfId="193"/>
    <cellStyle name="Normal 2 4 3 3" xfId="194"/>
    <cellStyle name="Normal 2 4 4" xfId="195"/>
    <cellStyle name="Normal 2 4 5" xfId="196"/>
    <cellStyle name="Normal 2 4 6" xfId="197"/>
    <cellStyle name="Normal 2 4 7" xfId="198"/>
    <cellStyle name="Normal 2 4 8" xfId="199"/>
    <cellStyle name="Normal 2 4 9" xfId="200"/>
    <cellStyle name="Normal 2 5" xfId="201"/>
    <cellStyle name="Normal 2 5 10" xfId="202"/>
    <cellStyle name="Normal 2 5 11" xfId="203"/>
    <cellStyle name="Normal 2 5 12" xfId="204"/>
    <cellStyle name="Normal 2 5 2" xfId="205"/>
    <cellStyle name="Normal 2 5 2 2" xfId="206"/>
    <cellStyle name="Normal 2 5 3" xfId="207"/>
    <cellStyle name="Normal 2 5 3 2" xfId="208"/>
    <cellStyle name="Normal 2 5 4" xfId="209"/>
    <cellStyle name="Normal 2 5 5" xfId="210"/>
    <cellStyle name="Normal 2 5 6" xfId="211"/>
    <cellStyle name="Normal 2 5 7" xfId="212"/>
    <cellStyle name="Normal 2 5 8" xfId="213"/>
    <cellStyle name="Normal 2 5 9" xfId="214"/>
    <cellStyle name="Normal 2 6" xfId="215"/>
    <cellStyle name="Normal 2 6 10" xfId="216"/>
    <cellStyle name="Normal 2 6 11" xfId="217"/>
    <cellStyle name="Normal 2 6 12" xfId="218"/>
    <cellStyle name="Normal 2 6 2" xfId="219"/>
    <cellStyle name="Normal 2 6 2 2" xfId="220"/>
    <cellStyle name="Normal 2 6 3" xfId="221"/>
    <cellStyle name="Normal 2 6 3 2" xfId="222"/>
    <cellStyle name="Normal 2 6 4" xfId="223"/>
    <cellStyle name="Normal 2 6 5" xfId="224"/>
    <cellStyle name="Normal 2 6 6" xfId="225"/>
    <cellStyle name="Normal 2 6 7" xfId="226"/>
    <cellStyle name="Normal 2 6 8" xfId="227"/>
    <cellStyle name="Normal 2 6 9" xfId="228"/>
    <cellStyle name="Normal 2 7" xfId="229"/>
    <cellStyle name="Normal 2 7 10" xfId="230"/>
    <cellStyle name="Normal 2 7 2" xfId="231"/>
    <cellStyle name="Normal 2 7 2 2" xfId="232"/>
    <cellStyle name="Normal 2 7 2 3" xfId="233"/>
    <cellStyle name="Normal 2 7 3" xfId="234"/>
    <cellStyle name="Normal 2 7 3 2" xfId="235"/>
    <cellStyle name="Normal 2 7 4" xfId="236"/>
    <cellStyle name="Normal 2 7 4 2" xfId="237"/>
    <cellStyle name="Normal 2 7 5" xfId="238"/>
    <cellStyle name="Normal 2 7 5 2" xfId="239"/>
    <cellStyle name="Normal 2 7 6" xfId="240"/>
    <cellStyle name="Normal 2 7 6 2" xfId="241"/>
    <cellStyle name="Normal 2 7 7" xfId="242"/>
    <cellStyle name="Normal 2 7 7 2" xfId="243"/>
    <cellStyle name="Normal 2 7 8" xfId="244"/>
    <cellStyle name="Normal 2 7 8 2" xfId="245"/>
    <cellStyle name="Normal 2 7 9" xfId="246"/>
    <cellStyle name="Normal 2 8" xfId="247"/>
    <cellStyle name="Normal 2 8 10" xfId="248"/>
    <cellStyle name="Normal 2 8 2" xfId="249"/>
    <cellStyle name="Normal 2 8 2 2" xfId="250"/>
    <cellStyle name="Normal 2 8 3" xfId="251"/>
    <cellStyle name="Normal 2 8 3 2" xfId="252"/>
    <cellStyle name="Normal 2 8 4" xfId="253"/>
    <cellStyle name="Normal 2 8 4 2" xfId="254"/>
    <cellStyle name="Normal 2 8 5" xfId="255"/>
    <cellStyle name="Normal 2 8 5 2" xfId="256"/>
    <cellStyle name="Normal 2 8 6" xfId="257"/>
    <cellStyle name="Normal 2 8 6 2" xfId="258"/>
    <cellStyle name="Normal 2 8 7" xfId="259"/>
    <cellStyle name="Normal 2 8 7 2" xfId="260"/>
    <cellStyle name="Normal 2 8 8" xfId="261"/>
    <cellStyle name="Normal 2 8 8 2" xfId="262"/>
    <cellStyle name="Normal 2 8 9" xfId="263"/>
    <cellStyle name="Normal 2 9" xfId="264"/>
    <cellStyle name="Normal 2 9 10" xfId="265"/>
    <cellStyle name="Normal 2 9 2" xfId="266"/>
    <cellStyle name="Normal 2 9 2 2" xfId="267"/>
    <cellStyle name="Normal 2 9 3" xfId="268"/>
    <cellStyle name="Normal 2 9 3 2" xfId="269"/>
    <cellStyle name="Normal 2 9 4" xfId="270"/>
    <cellStyle name="Normal 2 9 4 2" xfId="271"/>
    <cellStyle name="Normal 2 9 5" xfId="272"/>
    <cellStyle name="Normal 2 9 5 2" xfId="273"/>
    <cellStyle name="Normal 2 9 6" xfId="274"/>
    <cellStyle name="Normal 2 9 6 2" xfId="275"/>
    <cellStyle name="Normal 2 9 7" xfId="276"/>
    <cellStyle name="Normal 2 9 7 2" xfId="277"/>
    <cellStyle name="Normal 2 9 8" xfId="278"/>
    <cellStyle name="Normal 2 9 8 2" xfId="279"/>
    <cellStyle name="Normal 2 9 9" xfId="280"/>
    <cellStyle name="Normal 20" xfId="281"/>
    <cellStyle name="Normal 20 2" xfId="282"/>
    <cellStyle name="Normal 20 3" xfId="283"/>
    <cellStyle name="Normal 22" xfId="284"/>
    <cellStyle name="Normal 22 2" xfId="285"/>
    <cellStyle name="Normal 22 3" xfId="286"/>
    <cellStyle name="Normal 23" xfId="287"/>
    <cellStyle name="Normal 23 2" xfId="288"/>
    <cellStyle name="Normal 23 3" xfId="289"/>
    <cellStyle name="Normal 24" xfId="290"/>
    <cellStyle name="Normal 24 2" xfId="291"/>
    <cellStyle name="Normal 24 3" xfId="292"/>
    <cellStyle name="Normal 25" xfId="293"/>
    <cellStyle name="Normal 25 2" xfId="294"/>
    <cellStyle name="Normal 25 3" xfId="295"/>
    <cellStyle name="Normal 3" xfId="296"/>
    <cellStyle name="Normal 3 2" xfId="297"/>
    <cellStyle name="Normal 3 3" xfId="298"/>
    <cellStyle name="Normal 3 3 2" xfId="299"/>
    <cellStyle name="Normal 3 3 3" xfId="300"/>
    <cellStyle name="Normal 3 4" xfId="301"/>
    <cellStyle name="Normal 3 5" xfId="302"/>
    <cellStyle name="Normal 3 6" xfId="303"/>
    <cellStyle name="Normal 3 7" xfId="304"/>
    <cellStyle name="Normal 4" xfId="305"/>
    <cellStyle name="Normal 4 2" xfId="306"/>
    <cellStyle name="Normal 4 3" xfId="307"/>
    <cellStyle name="Normal 4 3 2" xfId="308"/>
    <cellStyle name="Normal 4 3 3" xfId="309"/>
    <cellStyle name="Normal 4 4" xfId="310"/>
    <cellStyle name="Normal 4 5" xfId="311"/>
    <cellStyle name="Normal 5" xfId="312"/>
    <cellStyle name="Normal 5 2" xfId="313"/>
    <cellStyle name="Normal 5 3" xfId="314"/>
    <cellStyle name="Normal 6 2" xfId="315"/>
    <cellStyle name="Normal 6 3" xfId="316"/>
    <cellStyle name="Normal 6 4" xfId="317"/>
    <cellStyle name="Normal 6 5" xfId="318"/>
    <cellStyle name="Normal 7" xfId="319"/>
    <cellStyle name="Normal 7 2" xfId="320"/>
    <cellStyle name="Normal 7 2 2" xfId="321"/>
    <cellStyle name="Normal 7 2 2 2" xfId="322"/>
    <cellStyle name="Normal 7 2 3" xfId="323"/>
    <cellStyle name="Normal 7 2 4" xfId="324"/>
    <cellStyle name="Normal 7 3" xfId="325"/>
    <cellStyle name="Normal 7 4" xfId="326"/>
    <cellStyle name="Normal 7 5" xfId="327"/>
    <cellStyle name="Normal 7 5 2" xfId="328"/>
    <cellStyle name="Normal 7 5 3" xfId="329"/>
    <cellStyle name="Normal 7 6" xfId="330"/>
    <cellStyle name="Normal 8" xfId="331"/>
    <cellStyle name="Normal 8 2" xfId="332"/>
    <cellStyle name="Normal 9" xfId="333"/>
    <cellStyle name="Normal 9 2" xfId="334"/>
    <cellStyle name="Normal 9 2 2" xfId="335"/>
    <cellStyle name="Normal 9 3" xfId="336"/>
    <cellStyle name="Normal 9 4" xfId="337"/>
    <cellStyle name="Normal 9 5" xfId="338"/>
    <cellStyle name="Normal_debt" xfId="339"/>
    <cellStyle name="Normal_lpform" xfId="340"/>
    <cellStyle name="Normal_Township 07" xfId="341"/>
  </cellStyles>
  <dxfs count="408">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FF00"/>
      <color rgb="FFFFFFCC"/>
      <color rgb="FFFFFF99"/>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11" Type="http://schemas.openxmlformats.org/officeDocument/2006/relationships/printerSettings" Target="../printerSettings/printerSettings52.bin"/><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A109"/>
  <sheetViews>
    <sheetView topLeftCell="A103" zoomScale="75" zoomScaleNormal="75" workbookViewId="0">
      <selection activeCell="G108" sqref="G108"/>
    </sheetView>
  </sheetViews>
  <sheetFormatPr defaultRowHeight="15.75"/>
  <cols>
    <col min="1" max="1" width="88.77734375" style="71" customWidth="1"/>
    <col min="2" max="16384" width="8.88671875" style="71"/>
  </cols>
  <sheetData>
    <row r="1" spans="1:1">
      <c r="A1" s="70" t="s">
        <v>320</v>
      </c>
    </row>
    <row r="3" spans="1:1" ht="34.5" customHeight="1">
      <c r="A3" s="72" t="s">
        <v>39</v>
      </c>
    </row>
    <row r="4" spans="1:1">
      <c r="A4" s="73"/>
    </row>
    <row r="5" spans="1:1" ht="52.5" customHeight="1">
      <c r="A5" s="74" t="s">
        <v>321</v>
      </c>
    </row>
    <row r="6" spans="1:1">
      <c r="A6" s="74"/>
    </row>
    <row r="7" spans="1:1" ht="31.5">
      <c r="A7" s="74" t="s">
        <v>100</v>
      </c>
    </row>
    <row r="8" spans="1:1">
      <c r="A8" s="74"/>
    </row>
    <row r="9" spans="1:1" ht="54.75" customHeight="1">
      <c r="A9" s="74" t="s">
        <v>85</v>
      </c>
    </row>
    <row r="10" spans="1:1">
      <c r="A10" s="74"/>
    </row>
    <row r="11" spans="1:1">
      <c r="A11" s="74" t="s">
        <v>316</v>
      </c>
    </row>
    <row r="13" spans="1:1" ht="118.5" customHeight="1">
      <c r="A13" s="74" t="s">
        <v>80</v>
      </c>
    </row>
    <row r="14" spans="1:1">
      <c r="A14" s="74"/>
    </row>
    <row r="15" spans="1:1" ht="106.5" customHeight="1">
      <c r="A15" s="74" t="s">
        <v>81</v>
      </c>
    </row>
    <row r="17" spans="1:1">
      <c r="A17" s="70" t="s">
        <v>632</v>
      </c>
    </row>
    <row r="18" spans="1:1">
      <c r="A18" s="70"/>
    </row>
    <row r="19" spans="1:1">
      <c r="A19" s="73" t="s">
        <v>83</v>
      </c>
    </row>
    <row r="20" spans="1:1">
      <c r="A20" s="73"/>
    </row>
    <row r="21" spans="1:1">
      <c r="A21" s="71" t="s">
        <v>350</v>
      </c>
    </row>
    <row r="23" spans="1:1" ht="72" customHeight="1">
      <c r="A23" s="75" t="s">
        <v>84</v>
      </c>
    </row>
    <row r="24" spans="1:1" ht="13.5" customHeight="1">
      <c r="A24" s="75"/>
    </row>
    <row r="27" spans="1:1">
      <c r="A27" s="70" t="s">
        <v>127</v>
      </c>
    </row>
    <row r="29" spans="1:1" ht="34.5" customHeight="1">
      <c r="A29" s="74" t="s">
        <v>79</v>
      </c>
    </row>
    <row r="30" spans="1:1" ht="9.75" customHeight="1">
      <c r="A30" s="74"/>
    </row>
    <row r="31" spans="1:1">
      <c r="A31" s="76" t="s">
        <v>40</v>
      </c>
    </row>
    <row r="32" spans="1:1">
      <c r="A32" s="74"/>
    </row>
    <row r="33" spans="1:1" ht="17.25" customHeight="1">
      <c r="A33" s="77" t="s">
        <v>281</v>
      </c>
    </row>
    <row r="34" spans="1:1" ht="17.25" customHeight="1">
      <c r="A34" s="78"/>
    </row>
    <row r="35" spans="1:1" ht="87.75" customHeight="1">
      <c r="A35" s="79" t="s">
        <v>66</v>
      </c>
    </row>
    <row r="37" spans="1:1">
      <c r="A37" s="80" t="s">
        <v>41</v>
      </c>
    </row>
    <row r="39" spans="1:1">
      <c r="A39" s="81" t="s">
        <v>82</v>
      </c>
    </row>
    <row r="41" spans="1:1">
      <c r="A41" s="74" t="s">
        <v>128</v>
      </c>
    </row>
    <row r="43" spans="1:1">
      <c r="A43" s="70" t="s">
        <v>129</v>
      </c>
    </row>
    <row r="45" spans="1:1" ht="70.5" customHeight="1">
      <c r="A45" s="74" t="s">
        <v>794</v>
      </c>
    </row>
    <row r="46" spans="1:1" ht="52.5" customHeight="1">
      <c r="A46" s="82" t="s">
        <v>56</v>
      </c>
    </row>
    <row r="47" spans="1:1" ht="9" customHeight="1">
      <c r="A47" s="74"/>
    </row>
    <row r="48" spans="1:1" ht="69.75" customHeight="1">
      <c r="A48" s="74" t="s">
        <v>795</v>
      </c>
    </row>
    <row r="49" spans="1:1" ht="53.25" customHeight="1">
      <c r="A49" s="74" t="s">
        <v>57</v>
      </c>
    </row>
    <row r="50" spans="1:1" ht="102.75" customHeight="1">
      <c r="A50" s="74" t="s">
        <v>120</v>
      </c>
    </row>
    <row r="51" spans="1:1" ht="74.099999999999994" customHeight="1">
      <c r="A51" s="440" t="s">
        <v>633</v>
      </c>
    </row>
    <row r="52" spans="1:1" ht="69.95" customHeight="1">
      <c r="A52" s="441" t="s">
        <v>634</v>
      </c>
    </row>
    <row r="53" spans="1:1" ht="69.95" customHeight="1">
      <c r="A53" s="717" t="s">
        <v>846</v>
      </c>
    </row>
    <row r="54" spans="1:1" ht="12" customHeight="1">
      <c r="A54" s="74"/>
    </row>
    <row r="55" spans="1:1" ht="68.25" customHeight="1">
      <c r="A55" s="74" t="s">
        <v>635</v>
      </c>
    </row>
    <row r="56" spans="1:1" ht="68.25" customHeight="1">
      <c r="A56" s="74" t="s">
        <v>636</v>
      </c>
    </row>
    <row r="57" spans="1:1" ht="31.5">
      <c r="A57" s="74" t="s">
        <v>637</v>
      </c>
    </row>
    <row r="58" spans="1:1" ht="31.5">
      <c r="A58" s="74" t="s">
        <v>638</v>
      </c>
    </row>
    <row r="59" spans="1:1" ht="12" customHeight="1"/>
    <row r="60" spans="1:1" ht="68.25" customHeight="1">
      <c r="A60" s="74" t="s">
        <v>639</v>
      </c>
    </row>
    <row r="61" spans="1:1" ht="128.25" customHeight="1">
      <c r="A61" s="74" t="s">
        <v>640</v>
      </c>
    </row>
    <row r="62" spans="1:1" ht="35.25" customHeight="1">
      <c r="A62" s="74" t="s">
        <v>641</v>
      </c>
    </row>
    <row r="63" spans="1:1" ht="10.5" customHeight="1">
      <c r="A63" s="74"/>
    </row>
    <row r="64" spans="1:1" ht="68.25" customHeight="1">
      <c r="A64" s="74" t="s">
        <v>847</v>
      </c>
    </row>
    <row r="65" spans="1:1" ht="10.5" customHeight="1">
      <c r="A65" s="74"/>
    </row>
    <row r="66" spans="1:1" ht="72.75" customHeight="1">
      <c r="A66" s="74" t="s">
        <v>642</v>
      </c>
    </row>
    <row r="67" spans="1:1" ht="31.5" customHeight="1">
      <c r="A67" s="74" t="s">
        <v>656</v>
      </c>
    </row>
    <row r="68" spans="1:1" ht="82.5" customHeight="1">
      <c r="A68" s="74" t="s">
        <v>657</v>
      </c>
    </row>
    <row r="69" spans="1:1" ht="37.5" customHeight="1">
      <c r="A69" s="415" t="s">
        <v>655</v>
      </c>
    </row>
    <row r="70" spans="1:1" ht="12" customHeight="1">
      <c r="A70" s="74"/>
    </row>
    <row r="71" spans="1:1" ht="54" customHeight="1">
      <c r="A71" s="74" t="s">
        <v>643</v>
      </c>
    </row>
    <row r="72" spans="1:1" ht="12" customHeight="1"/>
    <row r="73" spans="1:1" s="74" customFormat="1" ht="69" customHeight="1">
      <c r="A73" s="74" t="s">
        <v>644</v>
      </c>
    </row>
    <row r="74" spans="1:1" ht="12" customHeight="1"/>
    <row r="75" spans="1:1" ht="87" customHeight="1">
      <c r="A75" s="74" t="s">
        <v>645</v>
      </c>
    </row>
    <row r="76" spans="1:1" ht="87" customHeight="1">
      <c r="A76" s="547" t="s">
        <v>848</v>
      </c>
    </row>
    <row r="77" spans="1:1" ht="87" customHeight="1">
      <c r="A77" s="547" t="s">
        <v>849</v>
      </c>
    </row>
    <row r="78" spans="1:1" ht="87" customHeight="1">
      <c r="A78" s="547" t="s">
        <v>850</v>
      </c>
    </row>
    <row r="79" spans="1:1" ht="72" customHeight="1">
      <c r="A79" s="74" t="s">
        <v>851</v>
      </c>
    </row>
    <row r="80" spans="1:1" ht="116.25" customHeight="1">
      <c r="A80" s="74" t="s">
        <v>852</v>
      </c>
    </row>
    <row r="81" spans="1:1" ht="132.75" customHeight="1">
      <c r="A81" s="74" t="s">
        <v>853</v>
      </c>
    </row>
    <row r="82" spans="1:1" ht="84" customHeight="1">
      <c r="A82" s="547" t="s">
        <v>854</v>
      </c>
    </row>
    <row r="83" spans="1:1" ht="124.5" customHeight="1">
      <c r="A83" s="74" t="s">
        <v>855</v>
      </c>
    </row>
    <row r="84" spans="1:1" ht="38.25" customHeight="1">
      <c r="A84" s="74" t="s">
        <v>856</v>
      </c>
    </row>
    <row r="85" spans="1:1" ht="85.5" customHeight="1">
      <c r="A85" s="74" t="s">
        <v>857</v>
      </c>
    </row>
    <row r="86" spans="1:1" ht="40.5" customHeight="1">
      <c r="A86" s="74" t="s">
        <v>858</v>
      </c>
    </row>
    <row r="87" spans="1:1" ht="140.25" customHeight="1">
      <c r="A87" s="412" t="s">
        <v>859</v>
      </c>
    </row>
    <row r="88" spans="1:1" ht="119.25" customHeight="1">
      <c r="A88" s="413" t="s">
        <v>860</v>
      </c>
    </row>
    <row r="89" spans="1:1" ht="59.25" customHeight="1">
      <c r="A89" s="414" t="s">
        <v>861</v>
      </c>
    </row>
    <row r="91" spans="1:1" ht="154.5" customHeight="1">
      <c r="A91" s="74" t="s">
        <v>646</v>
      </c>
    </row>
    <row r="92" spans="1:1" ht="132" customHeight="1">
      <c r="A92" s="74" t="s">
        <v>647</v>
      </c>
    </row>
    <row r="93" spans="1:1" ht="54" customHeight="1">
      <c r="A93" s="74" t="s">
        <v>648</v>
      </c>
    </row>
    <row r="94" spans="1:1" ht="21.75" customHeight="1">
      <c r="A94" s="74" t="s">
        <v>649</v>
      </c>
    </row>
    <row r="96" spans="1:1" ht="52.5" customHeight="1">
      <c r="A96" s="74" t="s">
        <v>650</v>
      </c>
    </row>
    <row r="97" spans="1:1" ht="22.5" customHeight="1">
      <c r="A97" s="723" t="s">
        <v>891</v>
      </c>
    </row>
    <row r="98" spans="1:1" ht="31.5" customHeight="1">
      <c r="A98" s="547" t="s">
        <v>892</v>
      </c>
    </row>
    <row r="99" spans="1:1" ht="109.5" customHeight="1">
      <c r="A99" s="547" t="s">
        <v>893</v>
      </c>
    </row>
    <row r="100" spans="1:1" ht="126" customHeight="1">
      <c r="A100" s="547" t="s">
        <v>894</v>
      </c>
    </row>
    <row r="101" spans="1:1" ht="71.25" customHeight="1">
      <c r="A101" s="724" t="s">
        <v>895</v>
      </c>
    </row>
    <row r="102" spans="1:1" ht="57.75" customHeight="1">
      <c r="A102" s="74" t="s">
        <v>896</v>
      </c>
    </row>
    <row r="103" spans="1:1" ht="57.75" customHeight="1">
      <c r="A103" s="74" t="s">
        <v>897</v>
      </c>
    </row>
    <row r="104" spans="1:1" ht="10.5" customHeight="1"/>
    <row r="105" spans="1:1" ht="57" customHeight="1">
      <c r="A105" s="74" t="s">
        <v>651</v>
      </c>
    </row>
    <row r="106" spans="1:1" ht="15.75" customHeight="1"/>
    <row r="107" spans="1:1" ht="54" customHeight="1">
      <c r="A107" s="547" t="s">
        <v>796</v>
      </c>
    </row>
    <row r="108" spans="1:1" ht="93" customHeight="1">
      <c r="A108" s="547" t="s">
        <v>797</v>
      </c>
    </row>
    <row r="109" spans="1:1" ht="104.25" customHeight="1">
      <c r="A109" s="547" t="s">
        <v>798</v>
      </c>
    </row>
  </sheetData>
  <sheetProtection sheet="1"/>
  <phoneticPr fontId="0" type="noConversion"/>
  <pageMargins left="0.5" right="0.5" top="0.5" bottom="0.5" header="0.5" footer="0.5"/>
  <pageSetup scale="90" fitToHeight="2" orientation="portrait" blackAndWhite="1" r:id="rId1"/>
  <headerFooter alignWithMargins="0"/>
  <rowBreaks count="1" manualBreakCount="1">
    <brk id="26" man="1"/>
  </rowBreaks>
</worksheet>
</file>

<file path=xl/worksheets/sheet10.xml><?xml version="1.0" encoding="utf-8"?>
<worksheet xmlns="http://schemas.openxmlformats.org/spreadsheetml/2006/main" xmlns:r="http://schemas.openxmlformats.org/officeDocument/2006/relationships">
  <dimension ref="A1:G48"/>
  <sheetViews>
    <sheetView topLeftCell="A34" workbookViewId="0">
      <selection activeCell="A37" sqref="A37"/>
    </sheetView>
  </sheetViews>
  <sheetFormatPr defaultRowHeight="15"/>
  <cols>
    <col min="1" max="1" width="70.44140625" style="164" customWidth="1"/>
    <col min="2" max="16384" width="8.88671875" style="164"/>
  </cols>
  <sheetData>
    <row r="1" spans="1:7" ht="30" customHeight="1">
      <c r="A1" s="490" t="s">
        <v>353</v>
      </c>
      <c r="B1" s="489"/>
      <c r="C1" s="489"/>
      <c r="D1" s="489"/>
      <c r="E1" s="489"/>
      <c r="F1" s="489"/>
      <c r="G1" s="489"/>
    </row>
    <row r="2" spans="1:7" ht="15.75" customHeight="1">
      <c r="A2" s="2"/>
    </row>
    <row r="3" spans="1:7" ht="54" customHeight="1">
      <c r="A3" s="488" t="s">
        <v>675</v>
      </c>
    </row>
    <row r="4" spans="1:7" ht="15.75" customHeight="1">
      <c r="A4" s="2"/>
    </row>
    <row r="5" spans="1:7" ht="52.5" customHeight="1">
      <c r="A5" s="488" t="s">
        <v>676</v>
      </c>
    </row>
    <row r="6" spans="1:7" ht="15.75" customHeight="1">
      <c r="A6" s="2"/>
    </row>
    <row r="7" spans="1:7" s="486" customFormat="1" ht="45.75" customHeight="1">
      <c r="A7" s="487" t="s">
        <v>393</v>
      </c>
    </row>
    <row r="8" spans="1:7" ht="15.75" customHeight="1">
      <c r="A8" s="2"/>
    </row>
    <row r="9" spans="1:7" ht="46.5" customHeight="1">
      <c r="A9" s="487" t="s">
        <v>394</v>
      </c>
    </row>
    <row r="10" spans="1:7" ht="15.75" customHeight="1"/>
    <row r="11" spans="1:7" ht="45.75" customHeight="1">
      <c r="A11" s="487" t="s">
        <v>395</v>
      </c>
    </row>
    <row r="12" spans="1:7" ht="15.75" customHeight="1">
      <c r="A12" s="2"/>
    </row>
    <row r="13" spans="1:7" ht="62.25" customHeight="1">
      <c r="A13" s="487" t="s">
        <v>396</v>
      </c>
    </row>
    <row r="14" spans="1:7" ht="15.75" customHeight="1">
      <c r="A14" s="2"/>
    </row>
    <row r="15" spans="1:7" ht="32.25" customHeight="1">
      <c r="A15" s="487" t="s">
        <v>397</v>
      </c>
    </row>
    <row r="16" spans="1:7" ht="15.75" customHeight="1"/>
    <row r="17" spans="1:1" ht="67.5" customHeight="1">
      <c r="A17" s="485" t="s">
        <v>677</v>
      </c>
    </row>
    <row r="18" spans="1:1" ht="15.75" customHeight="1"/>
    <row r="19" spans="1:1" ht="81" customHeight="1">
      <c r="A19" s="485" t="s">
        <v>398</v>
      </c>
    </row>
    <row r="20" spans="1:1" ht="15.75" customHeight="1">
      <c r="A20" s="2"/>
    </row>
    <row r="21" spans="1:1" ht="78" customHeight="1">
      <c r="A21" s="487" t="s">
        <v>399</v>
      </c>
    </row>
    <row r="22" spans="1:1" ht="15.75" customHeight="1">
      <c r="A22" s="2"/>
    </row>
    <row r="23" spans="1:1" ht="44.25" customHeight="1">
      <c r="A23" s="487" t="s">
        <v>400</v>
      </c>
    </row>
    <row r="24" spans="1:1" ht="15.75" customHeight="1"/>
    <row r="25" spans="1:1" ht="53.25" customHeight="1">
      <c r="A25" s="485" t="s">
        <v>401</v>
      </c>
    </row>
    <row r="26" spans="1:1" ht="16.5" customHeight="1">
      <c r="A26" s="2"/>
    </row>
    <row r="27" spans="1:1" ht="40.5" customHeight="1">
      <c r="A27" s="488" t="s">
        <v>678</v>
      </c>
    </row>
    <row r="28" spans="1:1" ht="16.5" customHeight="1">
      <c r="A28" s="2"/>
    </row>
    <row r="29" spans="1:1" ht="69.75" customHeight="1">
      <c r="A29" s="487" t="s">
        <v>402</v>
      </c>
    </row>
    <row r="30" spans="1:1" ht="15.75" customHeight="1">
      <c r="A30" s="2"/>
    </row>
    <row r="31" spans="1:1" ht="79.5" customHeight="1">
      <c r="A31" s="487" t="s">
        <v>810</v>
      </c>
    </row>
    <row r="32" spans="1:1" ht="15.75" customHeight="1">
      <c r="A32" s="2"/>
    </row>
    <row r="33" spans="1:1" ht="58.5" customHeight="1">
      <c r="A33" s="487" t="s">
        <v>403</v>
      </c>
    </row>
    <row r="35" spans="1:1" ht="60.75" customHeight="1">
      <c r="A35" s="487" t="s">
        <v>404</v>
      </c>
    </row>
    <row r="36" spans="1:1" ht="15.75">
      <c r="A36" s="2"/>
    </row>
    <row r="37" spans="1:1" ht="82.5" customHeight="1">
      <c r="A37" s="487" t="s">
        <v>405</v>
      </c>
    </row>
    <row r="38" spans="1:1" ht="15.75">
      <c r="A38" s="484"/>
    </row>
    <row r="39" spans="1:1" ht="15.75">
      <c r="A39" s="484"/>
    </row>
    <row r="41" spans="1:1" ht="15.75">
      <c r="A41" s="484"/>
    </row>
    <row r="42" spans="1:1" ht="15.75">
      <c r="A42" s="484"/>
    </row>
    <row r="44" spans="1:1" ht="15.75">
      <c r="A44" s="2"/>
    </row>
    <row r="45" spans="1:1" ht="15.75">
      <c r="A45" s="484"/>
    </row>
    <row r="47" spans="1:1" ht="15.75">
      <c r="A47" s="484"/>
    </row>
    <row r="48" spans="1:1" ht="15.75">
      <c r="A48" s="484"/>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codeName="Sheet8">
    <pageSetUpPr fitToPage="1"/>
  </sheetPr>
  <dimension ref="B1:AC42"/>
  <sheetViews>
    <sheetView topLeftCell="A4" zoomScale="75" workbookViewId="0">
      <selection activeCell="F17" sqref="F17"/>
    </sheetView>
  </sheetViews>
  <sheetFormatPr defaultRowHeight="15.75"/>
  <cols>
    <col min="1" max="1" width="5.44140625" style="142" customWidth="1"/>
    <col min="2" max="2" width="20.77734375" style="142" customWidth="1"/>
    <col min="3" max="3" width="9.44140625" style="142" customWidth="1"/>
    <col min="4" max="4" width="9.77734375" style="142" customWidth="1"/>
    <col min="5" max="5" width="8.77734375" style="142" customWidth="1"/>
    <col min="6" max="6" width="12.77734375" style="142" customWidth="1"/>
    <col min="7" max="7" width="14" style="142" customWidth="1"/>
    <col min="8" max="13" width="9.77734375" style="142" customWidth="1"/>
    <col min="14" max="16384" width="8.88671875" style="142"/>
  </cols>
  <sheetData>
    <row r="1" spans="2:13">
      <c r="B1" s="226" t="str">
        <f>inputPrYr!$C$2</f>
        <v>Lyon County</v>
      </c>
      <c r="C1" s="84"/>
      <c r="D1" s="84"/>
      <c r="E1" s="84"/>
      <c r="F1" s="84"/>
      <c r="G1" s="84"/>
      <c r="H1" s="84"/>
      <c r="I1" s="84"/>
      <c r="J1" s="84"/>
      <c r="K1" s="84"/>
      <c r="L1" s="84"/>
      <c r="M1" s="252">
        <f>inputPrYr!$C$4</f>
        <v>2014</v>
      </c>
    </row>
    <row r="2" spans="2:13">
      <c r="B2" s="226"/>
      <c r="C2" s="84"/>
      <c r="D2" s="84"/>
      <c r="E2" s="84"/>
      <c r="F2" s="84"/>
      <c r="G2" s="84"/>
      <c r="H2" s="84"/>
      <c r="I2" s="84"/>
      <c r="J2" s="84"/>
      <c r="K2" s="84"/>
      <c r="L2" s="84"/>
      <c r="M2" s="238"/>
    </row>
    <row r="3" spans="2:13">
      <c r="B3" s="253" t="s">
        <v>238</v>
      </c>
      <c r="C3" s="92"/>
      <c r="D3" s="92"/>
      <c r="E3" s="92"/>
      <c r="F3" s="92"/>
      <c r="G3" s="92"/>
      <c r="H3" s="92"/>
      <c r="I3" s="92"/>
      <c r="J3" s="92"/>
      <c r="K3" s="92"/>
      <c r="L3" s="92"/>
      <c r="M3" s="92"/>
    </row>
    <row r="4" spans="2:13">
      <c r="B4" s="84"/>
      <c r="C4" s="254"/>
      <c r="D4" s="254"/>
      <c r="E4" s="254"/>
      <c r="F4" s="254"/>
      <c r="G4" s="254"/>
      <c r="H4" s="254"/>
      <c r="I4" s="254"/>
      <c r="J4" s="254"/>
      <c r="K4" s="254"/>
      <c r="L4" s="254"/>
      <c r="M4" s="254"/>
    </row>
    <row r="5" spans="2:13">
      <c r="B5" s="255" t="s">
        <v>811</v>
      </c>
      <c r="C5" s="255" t="s">
        <v>205</v>
      </c>
      <c r="D5" s="255" t="s">
        <v>205</v>
      </c>
      <c r="E5" s="255" t="s">
        <v>219</v>
      </c>
      <c r="F5" s="255"/>
      <c r="G5" s="255" t="s">
        <v>343</v>
      </c>
      <c r="H5" s="84"/>
      <c r="I5" s="84"/>
      <c r="J5" s="256" t="s">
        <v>206</v>
      </c>
      <c r="K5" s="257"/>
      <c r="L5" s="256" t="s">
        <v>206</v>
      </c>
      <c r="M5" s="257"/>
    </row>
    <row r="6" spans="2:13">
      <c r="B6" s="258" t="s">
        <v>207</v>
      </c>
      <c r="C6" s="258" t="s">
        <v>207</v>
      </c>
      <c r="D6" s="258" t="s">
        <v>344</v>
      </c>
      <c r="E6" s="258" t="s">
        <v>208</v>
      </c>
      <c r="F6" s="258" t="s">
        <v>152</v>
      </c>
      <c r="G6" s="258" t="s">
        <v>284</v>
      </c>
      <c r="H6" s="786" t="s">
        <v>209</v>
      </c>
      <c r="I6" s="787"/>
      <c r="J6" s="788">
        <f>M1-1</f>
        <v>2013</v>
      </c>
      <c r="K6" s="789"/>
      <c r="L6" s="788">
        <f>M1</f>
        <v>2014</v>
      </c>
      <c r="M6" s="789"/>
    </row>
    <row r="7" spans="2:13">
      <c r="B7" s="261" t="s">
        <v>812</v>
      </c>
      <c r="C7" s="261" t="s">
        <v>210</v>
      </c>
      <c r="D7" s="261" t="s">
        <v>345</v>
      </c>
      <c r="E7" s="261" t="s">
        <v>175</v>
      </c>
      <c r="F7" s="261" t="s">
        <v>211</v>
      </c>
      <c r="G7" s="259" t="str">
        <f>CONCATENATE("Jan 1,",M1-1,"")</f>
        <v>Jan 1,2013</v>
      </c>
      <c r="H7" s="250" t="s">
        <v>219</v>
      </c>
      <c r="I7" s="250" t="s">
        <v>220</v>
      </c>
      <c r="J7" s="250" t="s">
        <v>219</v>
      </c>
      <c r="K7" s="250" t="s">
        <v>220</v>
      </c>
      <c r="L7" s="250" t="s">
        <v>219</v>
      </c>
      <c r="M7" s="250" t="s">
        <v>220</v>
      </c>
    </row>
    <row r="8" spans="2:13">
      <c r="B8" s="260" t="s">
        <v>212</v>
      </c>
      <c r="C8" s="107"/>
      <c r="D8" s="107"/>
      <c r="E8" s="262"/>
      <c r="F8" s="263"/>
      <c r="G8" s="263"/>
      <c r="H8" s="107"/>
      <c r="I8" s="107"/>
      <c r="J8" s="263"/>
      <c r="K8" s="263"/>
      <c r="L8" s="263"/>
      <c r="M8" s="263"/>
    </row>
    <row r="9" spans="2:13">
      <c r="B9" s="264"/>
      <c r="C9" s="448"/>
      <c r="D9" s="448"/>
      <c r="E9" s="265"/>
      <c r="F9" s="266"/>
      <c r="G9" s="267"/>
      <c r="H9" s="268"/>
      <c r="I9" s="268"/>
      <c r="J9" s="267"/>
      <c r="K9" s="267"/>
      <c r="L9" s="267"/>
      <c r="M9" s="267"/>
    </row>
    <row r="10" spans="2:13">
      <c r="B10" s="264"/>
      <c r="C10" s="448"/>
      <c r="D10" s="448"/>
      <c r="E10" s="265"/>
      <c r="F10" s="266"/>
      <c r="G10" s="267"/>
      <c r="H10" s="268"/>
      <c r="I10" s="268"/>
      <c r="J10" s="267"/>
      <c r="K10" s="267"/>
      <c r="L10" s="267"/>
      <c r="M10" s="267"/>
    </row>
    <row r="11" spans="2:13">
      <c r="B11" s="264"/>
      <c r="C11" s="448"/>
      <c r="D11" s="448"/>
      <c r="E11" s="265"/>
      <c r="F11" s="266"/>
      <c r="G11" s="267"/>
      <c r="H11" s="268"/>
      <c r="I11" s="268"/>
      <c r="J11" s="267"/>
      <c r="K11" s="267"/>
      <c r="L11" s="267"/>
      <c r="M11" s="267"/>
    </row>
    <row r="12" spans="2:13">
      <c r="B12" s="264"/>
      <c r="C12" s="448"/>
      <c r="D12" s="448"/>
      <c r="E12" s="265"/>
      <c r="F12" s="266"/>
      <c r="G12" s="267"/>
      <c r="H12" s="268"/>
      <c r="I12" s="268"/>
      <c r="J12" s="267"/>
      <c r="K12" s="267"/>
      <c r="L12" s="267"/>
      <c r="M12" s="267"/>
    </row>
    <row r="13" spans="2:13">
      <c r="B13" s="264"/>
      <c r="C13" s="448"/>
      <c r="D13" s="448"/>
      <c r="E13" s="265"/>
      <c r="F13" s="266"/>
      <c r="G13" s="267"/>
      <c r="H13" s="268"/>
      <c r="I13" s="268"/>
      <c r="J13" s="267"/>
      <c r="K13" s="267"/>
      <c r="L13" s="267"/>
      <c r="M13" s="267"/>
    </row>
    <row r="14" spans="2:13">
      <c r="B14" s="264"/>
      <c r="C14" s="448"/>
      <c r="D14" s="448"/>
      <c r="E14" s="265"/>
      <c r="F14" s="266"/>
      <c r="G14" s="267"/>
      <c r="H14" s="268"/>
      <c r="I14" s="268"/>
      <c r="J14" s="267"/>
      <c r="K14" s="267"/>
      <c r="L14" s="267"/>
      <c r="M14" s="267"/>
    </row>
    <row r="15" spans="2:13">
      <c r="B15" s="264"/>
      <c r="C15" s="448"/>
      <c r="D15" s="448"/>
      <c r="E15" s="265"/>
      <c r="F15" s="266"/>
      <c r="G15" s="267"/>
      <c r="H15" s="268"/>
      <c r="I15" s="268"/>
      <c r="J15" s="267"/>
      <c r="K15" s="267"/>
      <c r="L15" s="267"/>
      <c r="M15" s="267"/>
    </row>
    <row r="16" spans="2:13">
      <c r="B16" s="264"/>
      <c r="C16" s="448"/>
      <c r="D16" s="448"/>
      <c r="E16" s="265"/>
      <c r="F16" s="266"/>
      <c r="G16" s="267"/>
      <c r="H16" s="268"/>
      <c r="I16" s="268"/>
      <c r="J16" s="267"/>
      <c r="K16" s="267"/>
      <c r="L16" s="267"/>
      <c r="M16" s="267"/>
    </row>
    <row r="17" spans="2:13">
      <c r="B17" s="264"/>
      <c r="C17" s="448"/>
      <c r="D17" s="448"/>
      <c r="E17" s="265"/>
      <c r="F17" s="266"/>
      <c r="G17" s="267"/>
      <c r="H17" s="268"/>
      <c r="I17" s="268"/>
      <c r="J17" s="267"/>
      <c r="K17" s="267"/>
      <c r="L17" s="267"/>
      <c r="M17" s="267"/>
    </row>
    <row r="18" spans="2:13">
      <c r="B18" s="264"/>
      <c r="C18" s="448"/>
      <c r="D18" s="448"/>
      <c r="E18" s="265"/>
      <c r="F18" s="266"/>
      <c r="G18" s="267"/>
      <c r="H18" s="268"/>
      <c r="I18" s="268"/>
      <c r="J18" s="267"/>
      <c r="K18" s="267"/>
      <c r="L18" s="267"/>
      <c r="M18" s="267"/>
    </row>
    <row r="19" spans="2:13">
      <c r="B19" s="269" t="s">
        <v>213</v>
      </c>
      <c r="C19" s="270"/>
      <c r="D19" s="270"/>
      <c r="E19" s="271"/>
      <c r="F19" s="272"/>
      <c r="G19" s="273">
        <f>SUM(G9:G18)</f>
        <v>0</v>
      </c>
      <c r="H19" s="274"/>
      <c r="I19" s="274"/>
      <c r="J19" s="273">
        <f>SUM(J9:J18)</f>
        <v>0</v>
      </c>
      <c r="K19" s="273">
        <f>SUM(K9:K18)</f>
        <v>0</v>
      </c>
      <c r="L19" s="273">
        <f>SUM(L9:L18)</f>
        <v>0</v>
      </c>
      <c r="M19" s="273">
        <f>SUM(M9:M18)</f>
        <v>0</v>
      </c>
    </row>
    <row r="20" spans="2:13">
      <c r="B20" s="250" t="s">
        <v>214</v>
      </c>
      <c r="C20" s="275"/>
      <c r="D20" s="275"/>
      <c r="E20" s="276"/>
      <c r="F20" s="277"/>
      <c r="G20" s="277"/>
      <c r="H20" s="278"/>
      <c r="I20" s="278"/>
      <c r="J20" s="277"/>
      <c r="K20" s="277"/>
      <c r="L20" s="277"/>
      <c r="M20" s="277"/>
    </row>
    <row r="21" spans="2:13">
      <c r="B21" s="264" t="s">
        <v>1088</v>
      </c>
      <c r="C21" s="448">
        <v>36342</v>
      </c>
      <c r="D21" s="448">
        <v>40787</v>
      </c>
      <c r="E21" s="265" t="s">
        <v>1089</v>
      </c>
      <c r="F21" s="266">
        <v>16900000</v>
      </c>
      <c r="G21" s="267">
        <v>0</v>
      </c>
      <c r="H21" s="268" t="s">
        <v>1090</v>
      </c>
      <c r="I21" s="268">
        <v>41153</v>
      </c>
      <c r="J21" s="267">
        <v>0</v>
      </c>
      <c r="K21" s="267">
        <v>0</v>
      </c>
      <c r="L21" s="267">
        <v>0</v>
      </c>
      <c r="M21" s="267">
        <v>0</v>
      </c>
    </row>
    <row r="22" spans="2:13">
      <c r="B22" s="264"/>
      <c r="C22" s="448"/>
      <c r="D22" s="448"/>
      <c r="E22" s="265"/>
      <c r="F22" s="266"/>
      <c r="G22" s="267"/>
      <c r="H22" s="268"/>
      <c r="I22" s="268"/>
      <c r="J22" s="267"/>
      <c r="K22" s="267"/>
      <c r="L22" s="267"/>
      <c r="M22" s="267"/>
    </row>
    <row r="23" spans="2:13">
      <c r="B23" s="264"/>
      <c r="C23" s="448"/>
      <c r="D23" s="448"/>
      <c r="E23" s="265"/>
      <c r="F23" s="266"/>
      <c r="G23" s="267"/>
      <c r="H23" s="268"/>
      <c r="I23" s="268"/>
      <c r="J23" s="267"/>
      <c r="K23" s="267"/>
      <c r="L23" s="267"/>
      <c r="M23" s="267"/>
    </row>
    <row r="24" spans="2:13">
      <c r="B24" s="264"/>
      <c r="C24" s="448"/>
      <c r="D24" s="448"/>
      <c r="E24" s="265"/>
      <c r="F24" s="266"/>
      <c r="G24" s="267"/>
      <c r="H24" s="268"/>
      <c r="I24" s="268"/>
      <c r="J24" s="267"/>
      <c r="K24" s="267"/>
      <c r="L24" s="267"/>
      <c r="M24" s="267"/>
    </row>
    <row r="25" spans="2:13">
      <c r="B25" s="264"/>
      <c r="C25" s="448"/>
      <c r="D25" s="448"/>
      <c r="E25" s="265"/>
      <c r="F25" s="266"/>
      <c r="G25" s="267"/>
      <c r="H25" s="268"/>
      <c r="I25" s="268"/>
      <c r="J25" s="267"/>
      <c r="K25" s="267"/>
      <c r="L25" s="267"/>
      <c r="M25" s="267"/>
    </row>
    <row r="26" spans="2:13">
      <c r="B26" s="264"/>
      <c r="C26" s="448"/>
      <c r="D26" s="448"/>
      <c r="E26" s="265"/>
      <c r="F26" s="266"/>
      <c r="G26" s="267"/>
      <c r="H26" s="268"/>
      <c r="I26" s="268"/>
      <c r="J26" s="267"/>
      <c r="K26" s="267"/>
      <c r="L26" s="267"/>
      <c r="M26" s="267"/>
    </row>
    <row r="27" spans="2:13">
      <c r="B27" s="269" t="s">
        <v>215</v>
      </c>
      <c r="C27" s="270"/>
      <c r="D27" s="270"/>
      <c r="E27" s="279"/>
      <c r="F27" s="272"/>
      <c r="G27" s="280">
        <f>SUM(G21:G26)</f>
        <v>0</v>
      </c>
      <c r="H27" s="274"/>
      <c r="I27" s="274"/>
      <c r="J27" s="280">
        <f>SUM(J21:J26)</f>
        <v>0</v>
      </c>
      <c r="K27" s="280">
        <f>SUM(K21:K26)</f>
        <v>0</v>
      </c>
      <c r="L27" s="273">
        <f>SUM(L21:L26)</f>
        <v>0</v>
      </c>
      <c r="M27" s="280">
        <f>SUM(M21:M26)</f>
        <v>0</v>
      </c>
    </row>
    <row r="28" spans="2:13">
      <c r="B28" s="250" t="s">
        <v>216</v>
      </c>
      <c r="C28" s="275"/>
      <c r="D28" s="275"/>
      <c r="E28" s="276"/>
      <c r="F28" s="277"/>
      <c r="G28" s="281"/>
      <c r="H28" s="278"/>
      <c r="I28" s="278"/>
      <c r="J28" s="277"/>
      <c r="K28" s="277"/>
      <c r="L28" s="277"/>
      <c r="M28" s="277"/>
    </row>
    <row r="29" spans="2:13">
      <c r="B29" s="264"/>
      <c r="C29" s="448"/>
      <c r="D29" s="448"/>
      <c r="E29" s="265"/>
      <c r="F29" s="266"/>
      <c r="G29" s="267"/>
      <c r="H29" s="268"/>
      <c r="I29" s="268"/>
      <c r="J29" s="267"/>
      <c r="K29" s="267"/>
      <c r="L29" s="267"/>
      <c r="M29" s="267"/>
    </row>
    <row r="30" spans="2:13">
      <c r="B30" s="264"/>
      <c r="C30" s="448"/>
      <c r="D30" s="448"/>
      <c r="E30" s="265"/>
      <c r="F30" s="266"/>
      <c r="G30" s="267"/>
      <c r="H30" s="268"/>
      <c r="I30" s="268"/>
      <c r="J30" s="267"/>
      <c r="K30" s="267"/>
      <c r="L30" s="267"/>
      <c r="M30" s="267"/>
    </row>
    <row r="31" spans="2:13">
      <c r="B31" s="264"/>
      <c r="C31" s="448"/>
      <c r="D31" s="448"/>
      <c r="E31" s="265"/>
      <c r="F31" s="266"/>
      <c r="G31" s="267"/>
      <c r="H31" s="268"/>
      <c r="I31" s="268"/>
      <c r="J31" s="267"/>
      <c r="K31" s="267"/>
      <c r="L31" s="267"/>
      <c r="M31" s="267"/>
    </row>
    <row r="32" spans="2:13">
      <c r="B32" s="264"/>
      <c r="C32" s="448"/>
      <c r="D32" s="448"/>
      <c r="E32" s="265"/>
      <c r="F32" s="266"/>
      <c r="G32" s="267"/>
      <c r="H32" s="268"/>
      <c r="I32" s="268"/>
      <c r="J32" s="267"/>
      <c r="K32" s="267"/>
      <c r="L32" s="267"/>
      <c r="M32" s="267"/>
    </row>
    <row r="33" spans="2:29">
      <c r="B33" s="264"/>
      <c r="C33" s="448"/>
      <c r="D33" s="448"/>
      <c r="E33" s="265"/>
      <c r="F33" s="266"/>
      <c r="G33" s="267"/>
      <c r="H33" s="268"/>
      <c r="I33" s="268"/>
      <c r="J33" s="267"/>
      <c r="K33" s="267"/>
      <c r="L33" s="267"/>
      <c r="M33" s="267"/>
    </row>
    <row r="34" spans="2:29">
      <c r="B34" s="264"/>
      <c r="C34" s="448"/>
      <c r="D34" s="448"/>
      <c r="E34" s="265"/>
      <c r="F34" s="266"/>
      <c r="G34" s="267"/>
      <c r="H34" s="268"/>
      <c r="I34" s="268"/>
      <c r="J34" s="267"/>
      <c r="K34" s="267"/>
      <c r="L34" s="267"/>
      <c r="M34" s="267"/>
    </row>
    <row r="35" spans="2:29">
      <c r="B35" s="264"/>
      <c r="C35" s="448"/>
      <c r="D35" s="448"/>
      <c r="E35" s="265"/>
      <c r="F35" s="266"/>
      <c r="G35" s="267"/>
      <c r="H35" s="268"/>
      <c r="I35" s="268"/>
      <c r="J35" s="267"/>
      <c r="K35" s="267"/>
      <c r="L35" s="267"/>
      <c r="M35" s="267"/>
      <c r="N35" s="71"/>
      <c r="O35" s="71"/>
      <c r="P35" s="71"/>
      <c r="Q35" s="71"/>
      <c r="R35" s="71"/>
      <c r="S35" s="71"/>
      <c r="T35" s="71"/>
      <c r="U35" s="71"/>
      <c r="V35" s="71"/>
      <c r="W35" s="71"/>
      <c r="X35" s="71"/>
      <c r="Y35" s="71"/>
      <c r="Z35" s="71"/>
      <c r="AA35" s="71"/>
      <c r="AB35" s="71"/>
      <c r="AC35" s="71"/>
    </row>
    <row r="36" spans="2:29">
      <c r="B36" s="269" t="s">
        <v>346</v>
      </c>
      <c r="C36" s="269"/>
      <c r="D36" s="269"/>
      <c r="E36" s="279"/>
      <c r="F36" s="272"/>
      <c r="G36" s="280">
        <f>SUM(G29:G35)</f>
        <v>0</v>
      </c>
      <c r="H36" s="272"/>
      <c r="I36" s="272"/>
      <c r="J36" s="280">
        <f>SUM(J29:J35)</f>
        <v>0</v>
      </c>
      <c r="K36" s="280">
        <f>SUM(K29:K35)</f>
        <v>0</v>
      </c>
      <c r="L36" s="280">
        <f>SUM(L29:L35)</f>
        <v>0</v>
      </c>
      <c r="M36" s="280">
        <f>SUM(M29:M35)</f>
        <v>0</v>
      </c>
    </row>
    <row r="37" spans="2:29">
      <c r="B37" s="269" t="s">
        <v>217</v>
      </c>
      <c r="C37" s="269"/>
      <c r="D37" s="269"/>
      <c r="E37" s="269"/>
      <c r="F37" s="272"/>
      <c r="G37" s="280">
        <f>SUM(G19+G27+G36)</f>
        <v>0</v>
      </c>
      <c r="H37" s="272"/>
      <c r="I37" s="272"/>
      <c r="J37" s="280">
        <f>SUM(J19+J27+J36)</f>
        <v>0</v>
      </c>
      <c r="K37" s="280">
        <f>SUM(K19+K27+K36)</f>
        <v>0</v>
      </c>
      <c r="L37" s="280">
        <f>SUM(L19+L27+L36)</f>
        <v>0</v>
      </c>
      <c r="M37" s="280">
        <f>SUM(M19+M27+M36)</f>
        <v>0</v>
      </c>
    </row>
    <row r="38" spans="2:29">
      <c r="B38" s="71"/>
      <c r="C38" s="71"/>
      <c r="D38" s="71"/>
      <c r="E38" s="71"/>
      <c r="F38" s="71"/>
      <c r="G38" s="71"/>
      <c r="H38" s="71"/>
      <c r="I38" s="71"/>
      <c r="J38" s="71"/>
      <c r="K38" s="71"/>
      <c r="L38" s="71"/>
      <c r="M38" s="71"/>
    </row>
    <row r="39" spans="2:29">
      <c r="F39" s="282"/>
      <c r="G39" s="282"/>
      <c r="J39" s="282"/>
      <c r="K39" s="282"/>
      <c r="L39" s="282"/>
      <c r="M39" s="282"/>
    </row>
    <row r="40" spans="2:29">
      <c r="F40" s="71"/>
      <c r="H40" s="283"/>
      <c r="N40" s="71"/>
    </row>
    <row r="41" spans="2:29">
      <c r="B41" s="71"/>
      <c r="C41" s="71"/>
      <c r="D41" s="71"/>
      <c r="E41" s="71"/>
      <c r="F41" s="71"/>
      <c r="G41" s="71"/>
      <c r="H41" s="71"/>
      <c r="I41" s="71"/>
      <c r="J41" s="71"/>
      <c r="K41" s="71"/>
      <c r="L41" s="71"/>
      <c r="M41" s="71"/>
    </row>
    <row r="42" spans="2:29">
      <c r="B42" s="71"/>
      <c r="C42" s="71"/>
      <c r="D42" s="71"/>
      <c r="E42" s="71"/>
      <c r="F42" s="71"/>
      <c r="G42" s="71"/>
      <c r="H42" s="71"/>
      <c r="I42" s="71"/>
      <c r="J42" s="71"/>
      <c r="K42" s="71"/>
      <c r="L42" s="71"/>
      <c r="M42" s="71"/>
    </row>
  </sheetData>
  <sheetProtection sheet="1"/>
  <mergeCells count="3">
    <mergeCell ref="H6:I6"/>
    <mergeCell ref="J6:K6"/>
    <mergeCell ref="L6:M6"/>
  </mergeCells>
  <phoneticPr fontId="0" type="noConversion"/>
  <pageMargins left="0.38" right="0.5" top="0.78" bottom="0.4" header="0.5" footer="0"/>
  <pageSetup scale="77" orientation="landscape" blackAndWhite="1" horizontalDpi="120" verticalDpi="144" r:id="rId1"/>
  <headerFooter alignWithMargins="0">
    <oddHeader xml:space="preserve">&amp;RState of Kansas
County
</oddHeader>
    <oddFooter>&amp;CPage No. 5</oddFooter>
  </headerFooter>
</worksheet>
</file>

<file path=xl/worksheets/sheet12.xml><?xml version="1.0" encoding="utf-8"?>
<worksheet xmlns="http://schemas.openxmlformats.org/spreadsheetml/2006/main" xmlns:r="http://schemas.openxmlformats.org/officeDocument/2006/relationships">
  <sheetPr codeName="Sheet9">
    <pageSetUpPr fitToPage="1"/>
  </sheetPr>
  <dimension ref="B1:J48"/>
  <sheetViews>
    <sheetView zoomScale="75" workbookViewId="0">
      <selection activeCell="G15" sqref="G15"/>
    </sheetView>
  </sheetViews>
  <sheetFormatPr defaultRowHeight="15.75"/>
  <cols>
    <col min="1" max="1" width="4.77734375" style="71" customWidth="1"/>
    <col min="2" max="2" width="25.77734375" style="71" customWidth="1"/>
    <col min="3" max="5" width="9.77734375" style="71" customWidth="1"/>
    <col min="6" max="6" width="17.109375" style="71" customWidth="1"/>
    <col min="7" max="9" width="15.77734375" style="71" customWidth="1"/>
    <col min="10" max="16384" width="8.88671875" style="71"/>
  </cols>
  <sheetData>
    <row r="1" spans="2:9">
      <c r="B1" s="226" t="str">
        <f>inputPrYr!$C$2</f>
        <v>Lyon County</v>
      </c>
      <c r="C1" s="84"/>
      <c r="D1" s="84"/>
      <c r="E1" s="84"/>
      <c r="F1" s="84"/>
      <c r="G1" s="84"/>
      <c r="H1" s="84"/>
      <c r="I1" s="284">
        <f>inputPrYr!C4</f>
        <v>2014</v>
      </c>
    </row>
    <row r="2" spans="2:9">
      <c r="B2" s="84"/>
      <c r="C2" s="84"/>
      <c r="D2" s="84"/>
      <c r="E2" s="84"/>
      <c r="F2" s="84"/>
      <c r="G2" s="84"/>
      <c r="H2" s="84"/>
      <c r="I2" s="238"/>
    </row>
    <row r="3" spans="2:9">
      <c r="B3" s="84"/>
      <c r="C3" s="92"/>
      <c r="D3" s="92"/>
      <c r="E3" s="92"/>
      <c r="F3" s="92"/>
      <c r="G3" s="92"/>
      <c r="H3" s="92"/>
      <c r="I3" s="285"/>
    </row>
    <row r="4" spans="2:9">
      <c r="B4" s="253" t="s">
        <v>229</v>
      </c>
      <c r="C4" s="92"/>
      <c r="D4" s="92"/>
      <c r="E4" s="92"/>
      <c r="F4" s="92"/>
      <c r="G4" s="92"/>
      <c r="H4" s="92"/>
      <c r="I4" s="92"/>
    </row>
    <row r="5" spans="2:9">
      <c r="B5" s="113"/>
      <c r="C5" s="254"/>
      <c r="D5" s="254"/>
      <c r="E5" s="254"/>
      <c r="F5" s="254"/>
      <c r="G5" s="254"/>
      <c r="H5" s="254"/>
      <c r="I5" s="254"/>
    </row>
    <row r="6" spans="2:9">
      <c r="B6" s="286"/>
      <c r="C6" s="287"/>
      <c r="D6" s="287"/>
      <c r="E6" s="287"/>
      <c r="F6" s="255" t="s">
        <v>132</v>
      </c>
      <c r="G6" s="287"/>
      <c r="H6" s="287"/>
      <c r="I6" s="287"/>
    </row>
    <row r="7" spans="2:9">
      <c r="B7" s="286"/>
      <c r="C7" s="258"/>
      <c r="D7" s="258" t="s">
        <v>218</v>
      </c>
      <c r="E7" s="258" t="s">
        <v>219</v>
      </c>
      <c r="F7" s="258" t="s">
        <v>152</v>
      </c>
      <c r="G7" s="258" t="s">
        <v>220</v>
      </c>
      <c r="H7" s="258" t="s">
        <v>221</v>
      </c>
      <c r="I7" s="258" t="s">
        <v>221</v>
      </c>
    </row>
    <row r="8" spans="2:9">
      <c r="B8" s="632" t="s">
        <v>814</v>
      </c>
      <c r="C8" s="258" t="s">
        <v>222</v>
      </c>
      <c r="D8" s="258" t="s">
        <v>223</v>
      </c>
      <c r="E8" s="258" t="s">
        <v>208</v>
      </c>
      <c r="F8" s="258" t="s">
        <v>224</v>
      </c>
      <c r="G8" s="258" t="s">
        <v>265</v>
      </c>
      <c r="H8" s="258" t="s">
        <v>225</v>
      </c>
      <c r="I8" s="258" t="s">
        <v>225</v>
      </c>
    </row>
    <row r="9" spans="2:9">
      <c r="B9" s="620" t="s">
        <v>813</v>
      </c>
      <c r="C9" s="261" t="s">
        <v>205</v>
      </c>
      <c r="D9" s="289" t="s">
        <v>226</v>
      </c>
      <c r="E9" s="261" t="s">
        <v>175</v>
      </c>
      <c r="F9" s="289" t="s">
        <v>285</v>
      </c>
      <c r="G9" s="290" t="str">
        <f>CONCATENATE("Jan 1,",I1-1,"")</f>
        <v>Jan 1,2013</v>
      </c>
      <c r="H9" s="261">
        <f>I1-1</f>
        <v>2013</v>
      </c>
      <c r="I9" s="261">
        <f>I1</f>
        <v>2014</v>
      </c>
    </row>
    <row r="10" spans="2:9">
      <c r="B10" s="291" t="s">
        <v>1086</v>
      </c>
      <c r="C10" s="291"/>
      <c r="D10" s="292"/>
      <c r="E10" s="293"/>
      <c r="F10" s="111"/>
      <c r="G10" s="111"/>
      <c r="H10" s="111"/>
      <c r="I10" s="111"/>
    </row>
    <row r="11" spans="2:9">
      <c r="B11" s="291" t="s">
        <v>1087</v>
      </c>
      <c r="C11" s="447">
        <v>38730</v>
      </c>
      <c r="D11" s="292">
        <v>60</v>
      </c>
      <c r="E11" s="293">
        <v>4.5</v>
      </c>
      <c r="F11" s="111">
        <v>115905</v>
      </c>
      <c r="G11" s="111">
        <v>0</v>
      </c>
      <c r="H11" s="111">
        <v>0</v>
      </c>
      <c r="I11" s="111"/>
    </row>
    <row r="12" spans="2:9">
      <c r="B12" s="291"/>
      <c r="C12" s="447"/>
      <c r="D12" s="292"/>
      <c r="E12" s="293"/>
      <c r="F12" s="111"/>
      <c r="G12" s="111"/>
      <c r="H12" s="111"/>
      <c r="I12" s="111"/>
    </row>
    <row r="13" spans="2:9">
      <c r="B13" s="291"/>
      <c r="C13" s="291"/>
      <c r="D13" s="292"/>
      <c r="E13" s="293"/>
      <c r="F13" s="111"/>
      <c r="G13" s="111"/>
      <c r="H13" s="111"/>
      <c r="I13" s="111"/>
    </row>
    <row r="14" spans="2:9">
      <c r="B14" s="291"/>
      <c r="C14" s="291"/>
      <c r="D14" s="292"/>
      <c r="E14" s="293"/>
      <c r="F14" s="111"/>
      <c r="G14" s="111"/>
      <c r="H14" s="111"/>
      <c r="I14" s="111"/>
    </row>
    <row r="15" spans="2:9">
      <c r="B15" s="291"/>
      <c r="C15" s="291"/>
      <c r="D15" s="292"/>
      <c r="E15" s="293"/>
      <c r="F15" s="111"/>
      <c r="G15" s="111"/>
      <c r="H15" s="111"/>
      <c r="I15" s="111"/>
    </row>
    <row r="16" spans="2:9">
      <c r="B16" s="291"/>
      <c r="C16" s="291"/>
      <c r="D16" s="292"/>
      <c r="E16" s="293"/>
      <c r="F16" s="111"/>
      <c r="G16" s="111"/>
      <c r="H16" s="111"/>
      <c r="I16" s="111"/>
    </row>
    <row r="17" spans="2:9">
      <c r="B17" s="291"/>
      <c r="C17" s="291"/>
      <c r="D17" s="292"/>
      <c r="E17" s="293"/>
      <c r="F17" s="111"/>
      <c r="G17" s="111"/>
      <c r="H17" s="111"/>
      <c r="I17" s="111"/>
    </row>
    <row r="18" spans="2:9">
      <c r="B18" s="291"/>
      <c r="C18" s="291"/>
      <c r="D18" s="292"/>
      <c r="E18" s="293"/>
      <c r="F18" s="111"/>
      <c r="G18" s="111"/>
      <c r="H18" s="111"/>
      <c r="I18" s="111"/>
    </row>
    <row r="19" spans="2:9">
      <c r="B19" s="291"/>
      <c r="C19" s="291"/>
      <c r="D19" s="292"/>
      <c r="E19" s="293"/>
      <c r="F19" s="111"/>
      <c r="G19" s="111"/>
      <c r="H19" s="111"/>
      <c r="I19" s="111"/>
    </row>
    <row r="20" spans="2:9">
      <c r="B20" s="291"/>
      <c r="C20" s="291"/>
      <c r="D20" s="292"/>
      <c r="E20" s="293"/>
      <c r="F20" s="111"/>
      <c r="G20" s="111"/>
      <c r="H20" s="111"/>
      <c r="I20" s="111"/>
    </row>
    <row r="21" spans="2:9">
      <c r="B21" s="291"/>
      <c r="C21" s="291"/>
      <c r="D21" s="292"/>
      <c r="E21" s="293"/>
      <c r="F21" s="111"/>
      <c r="G21" s="111"/>
      <c r="H21" s="111"/>
      <c r="I21" s="111"/>
    </row>
    <row r="22" spans="2:9">
      <c r="B22" s="291"/>
      <c r="C22" s="291"/>
      <c r="D22" s="292"/>
      <c r="E22" s="293"/>
      <c r="F22" s="111"/>
      <c r="G22" s="111"/>
      <c r="H22" s="111"/>
      <c r="I22" s="111"/>
    </row>
    <row r="23" spans="2:9">
      <c r="B23" s="291"/>
      <c r="C23" s="291"/>
      <c r="D23" s="292"/>
      <c r="E23" s="293"/>
      <c r="F23" s="111"/>
      <c r="G23" s="111"/>
      <c r="H23" s="111"/>
      <c r="I23" s="111"/>
    </row>
    <row r="24" spans="2:9">
      <c r="B24" s="291"/>
      <c r="C24" s="291"/>
      <c r="D24" s="292"/>
      <c r="E24" s="293"/>
      <c r="F24" s="111"/>
      <c r="G24" s="111"/>
      <c r="H24" s="111"/>
      <c r="I24" s="111"/>
    </row>
    <row r="25" spans="2:9">
      <c r="B25" s="291"/>
      <c r="C25" s="291"/>
      <c r="D25" s="292"/>
      <c r="E25" s="293"/>
      <c r="F25" s="111"/>
      <c r="G25" s="111"/>
      <c r="H25" s="111"/>
      <c r="I25" s="111"/>
    </row>
    <row r="26" spans="2:9">
      <c r="B26" s="291"/>
      <c r="C26" s="291"/>
      <c r="D26" s="292"/>
      <c r="E26" s="293"/>
      <c r="F26" s="111"/>
      <c r="G26" s="111"/>
      <c r="H26" s="111"/>
      <c r="I26" s="111"/>
    </row>
    <row r="27" spans="2:9">
      <c r="B27" s="291"/>
      <c r="C27" s="291"/>
      <c r="D27" s="292"/>
      <c r="E27" s="293"/>
      <c r="F27" s="111"/>
      <c r="G27" s="111"/>
      <c r="H27" s="111"/>
      <c r="I27" s="111"/>
    </row>
    <row r="28" spans="2:9">
      <c r="B28" s="291"/>
      <c r="C28" s="291"/>
      <c r="D28" s="292"/>
      <c r="E28" s="293"/>
      <c r="F28" s="111"/>
      <c r="G28" s="111"/>
      <c r="H28" s="111"/>
      <c r="I28" s="111"/>
    </row>
    <row r="29" spans="2:9">
      <c r="B29" s="291"/>
      <c r="C29" s="291"/>
      <c r="D29" s="292"/>
      <c r="E29" s="293"/>
      <c r="F29" s="111"/>
      <c r="G29" s="111"/>
      <c r="H29" s="111"/>
      <c r="I29" s="111"/>
    </row>
    <row r="30" spans="2:9">
      <c r="B30" s="291"/>
      <c r="C30" s="291"/>
      <c r="D30" s="292"/>
      <c r="E30" s="293"/>
      <c r="F30" s="111"/>
      <c r="G30" s="111"/>
      <c r="H30" s="111"/>
      <c r="I30" s="111"/>
    </row>
    <row r="31" spans="2:9">
      <c r="B31" s="291"/>
      <c r="C31" s="291"/>
      <c r="D31" s="292"/>
      <c r="E31" s="293"/>
      <c r="F31" s="111"/>
      <c r="G31" s="111"/>
      <c r="H31" s="111"/>
      <c r="I31" s="111"/>
    </row>
    <row r="32" spans="2:9">
      <c r="B32" s="291"/>
      <c r="C32" s="291"/>
      <c r="D32" s="292"/>
      <c r="E32" s="293"/>
      <c r="F32" s="111"/>
      <c r="G32" s="111"/>
      <c r="H32" s="111"/>
      <c r="I32" s="111"/>
    </row>
    <row r="33" spans="2:10">
      <c r="B33" s="291"/>
      <c r="C33" s="291"/>
      <c r="D33" s="292"/>
      <c r="E33" s="293"/>
      <c r="F33" s="111"/>
      <c r="G33" s="111"/>
      <c r="H33" s="111"/>
      <c r="I33" s="111"/>
    </row>
    <row r="34" spans="2:10">
      <c r="B34" s="291"/>
      <c r="C34" s="291"/>
      <c r="D34" s="292"/>
      <c r="E34" s="293"/>
      <c r="F34" s="111"/>
      <c r="G34" s="111"/>
      <c r="H34" s="111"/>
      <c r="I34" s="111"/>
    </row>
    <row r="35" spans="2:10">
      <c r="B35" s="291"/>
      <c r="C35" s="291"/>
      <c r="D35" s="292"/>
      <c r="E35" s="293"/>
      <c r="F35" s="111"/>
      <c r="G35" s="111"/>
      <c r="H35" s="111"/>
      <c r="I35" s="111"/>
    </row>
    <row r="36" spans="2:10">
      <c r="B36" s="291"/>
      <c r="C36" s="291"/>
      <c r="D36" s="292"/>
      <c r="E36" s="293"/>
      <c r="F36" s="111"/>
      <c r="G36" s="111"/>
      <c r="H36" s="111"/>
      <c r="I36" s="111"/>
    </row>
    <row r="37" spans="2:10" ht="16.5" thickBot="1">
      <c r="B37" s="633"/>
      <c r="C37" s="84"/>
      <c r="D37" s="84"/>
      <c r="E37" s="84"/>
      <c r="F37" s="269" t="s">
        <v>158</v>
      </c>
      <c r="G37" s="294">
        <f>SUM(G10:G36)</f>
        <v>0</v>
      </c>
      <c r="H37" s="294">
        <f>SUM(H10:H36)</f>
        <v>0</v>
      </c>
      <c r="I37" s="294">
        <f>SUM(I10:I36)</f>
        <v>0</v>
      </c>
      <c r="J37" s="295"/>
    </row>
    <row r="38" spans="2:10" ht="16.5" thickTop="1">
      <c r="B38" s="84"/>
      <c r="C38" s="84"/>
      <c r="D38" s="84"/>
      <c r="E38" s="84"/>
      <c r="F38" s="84"/>
      <c r="G38" s="84"/>
      <c r="H38" s="226"/>
      <c r="I38" s="226"/>
    </row>
    <row r="39" spans="2:10">
      <c r="B39" s="296" t="s">
        <v>89</v>
      </c>
      <c r="C39" s="297"/>
      <c r="D39" s="297"/>
      <c r="E39" s="297"/>
      <c r="F39" s="297"/>
      <c r="G39" s="297"/>
      <c r="H39" s="226"/>
      <c r="I39" s="226"/>
    </row>
    <row r="40" spans="2:10">
      <c r="B40" s="142"/>
      <c r="C40" s="142"/>
      <c r="D40" s="283"/>
      <c r="E40" s="142"/>
      <c r="F40" s="142"/>
      <c r="G40" s="142"/>
      <c r="H40" s="282"/>
      <c r="I40" s="282"/>
    </row>
    <row r="41" spans="2:10">
      <c r="B41" s="142"/>
      <c r="C41" s="142"/>
      <c r="D41" s="142"/>
      <c r="E41" s="142"/>
      <c r="F41" s="142"/>
      <c r="G41" s="142"/>
      <c r="H41" s="142"/>
      <c r="I41" s="142"/>
    </row>
    <row r="42" spans="2:10">
      <c r="B42" s="142"/>
      <c r="C42" s="142"/>
      <c r="D42" s="142"/>
      <c r="E42" s="142"/>
      <c r="F42" s="142"/>
      <c r="G42" s="142"/>
      <c r="H42" s="142"/>
      <c r="I42" s="142"/>
    </row>
    <row r="43" spans="2:10">
      <c r="B43" s="142"/>
      <c r="C43" s="142"/>
      <c r="D43" s="142"/>
      <c r="E43" s="142"/>
      <c r="F43" s="142"/>
      <c r="G43" s="142"/>
      <c r="H43" s="142"/>
      <c r="I43" s="142"/>
    </row>
    <row r="44" spans="2:10">
      <c r="B44" s="142"/>
      <c r="C44" s="142"/>
      <c r="D44" s="142"/>
      <c r="E44" s="142"/>
      <c r="F44" s="142"/>
      <c r="G44" s="142"/>
      <c r="H44" s="142"/>
      <c r="I44" s="142"/>
    </row>
    <row r="45" spans="2:10">
      <c r="B45" s="142"/>
      <c r="C45" s="142"/>
      <c r="D45" s="142"/>
      <c r="E45" s="142"/>
      <c r="F45" s="142"/>
      <c r="G45" s="142"/>
      <c r="H45" s="142"/>
      <c r="I45" s="142"/>
    </row>
    <row r="46" spans="2:10">
      <c r="B46" s="142"/>
      <c r="C46" s="142"/>
      <c r="D46" s="142"/>
      <c r="E46" s="142"/>
      <c r="F46" s="142"/>
      <c r="G46" s="142"/>
      <c r="H46" s="142"/>
      <c r="I46" s="142"/>
    </row>
    <row r="47" spans="2:10">
      <c r="B47" s="142"/>
      <c r="C47" s="142"/>
      <c r="D47" s="142"/>
      <c r="E47" s="142"/>
      <c r="F47" s="142"/>
      <c r="G47" s="142"/>
      <c r="H47" s="142"/>
      <c r="I47" s="142"/>
    </row>
    <row r="48" spans="2:10">
      <c r="B48" s="142"/>
      <c r="C48" s="142"/>
      <c r="D48" s="142"/>
      <c r="E48" s="142"/>
      <c r="F48" s="142"/>
      <c r="G48" s="142"/>
      <c r="H48" s="142"/>
      <c r="I48" s="142"/>
    </row>
  </sheetData>
  <sheetProtection sheet="1"/>
  <phoneticPr fontId="0" type="noConversion"/>
  <pageMargins left="0.17" right="0.5" top="0.78" bottom="0.4" header="0.5" footer="0"/>
  <pageSetup scale="87" orientation="landscape" blackAndWhite="1" horizontalDpi="120" verticalDpi="144" r:id="rId1"/>
  <headerFooter alignWithMargins="0">
    <oddHeader xml:space="preserve">&amp;RState of Kansas
County
</oddHeader>
    <oddFooter>&amp;CPage No. 6</oddFooter>
  </headerFooter>
</worksheet>
</file>

<file path=xl/worksheets/sheet13.xml><?xml version="1.0" encoding="utf-8"?>
<worksheet xmlns="http://schemas.openxmlformats.org/spreadsheetml/2006/main" xmlns:r="http://schemas.openxmlformats.org/officeDocument/2006/relationships">
  <sheetPr codeName="Sheet10"/>
  <dimension ref="B1:K135"/>
  <sheetViews>
    <sheetView topLeftCell="A94" zoomScaleNormal="100" workbookViewId="0">
      <selection activeCell="C6" sqref="C6"/>
    </sheetView>
  </sheetViews>
  <sheetFormatPr defaultRowHeight="15.75"/>
  <cols>
    <col min="1" max="1" width="2.44140625" style="71" customWidth="1"/>
    <col min="2" max="2" width="31.109375" style="71" customWidth="1"/>
    <col min="3" max="4" width="15.77734375" style="71" customWidth="1"/>
    <col min="5" max="5" width="16.2187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84"/>
      <c r="D3" s="84"/>
      <c r="E3" s="298"/>
    </row>
    <row r="4" spans="2:5">
      <c r="B4" s="299" t="s">
        <v>159</v>
      </c>
      <c r="C4" s="701" t="s">
        <v>842</v>
      </c>
      <c r="D4" s="702" t="s">
        <v>843</v>
      </c>
      <c r="E4" s="214" t="s">
        <v>844</v>
      </c>
    </row>
    <row r="5" spans="2:5">
      <c r="B5" s="482" t="str">
        <f>inputPrYr!B16</f>
        <v>General</v>
      </c>
      <c r="C5" s="453" t="str">
        <f>CONCATENATE("Actual for ",E1-2,"")</f>
        <v>Actual for 2012</v>
      </c>
      <c r="D5" s="453" t="str">
        <f>CONCATENATE("Estimate for ",E1-1,"")</f>
        <v>Estimate for 2013</v>
      </c>
      <c r="E5" s="300" t="str">
        <f>CONCATENATE("Year for ",E1,"")</f>
        <v>Year for 2014</v>
      </c>
    </row>
    <row r="6" spans="2:5">
      <c r="B6" s="301" t="s">
        <v>278</v>
      </c>
      <c r="C6" s="739">
        <v>3543198</v>
      </c>
      <c r="D6" s="454">
        <f>C116</f>
        <v>2618295.0999999996</v>
      </c>
      <c r="E6" s="263">
        <f>D116</f>
        <v>2756963.0999999996</v>
      </c>
    </row>
    <row r="7" spans="2:5">
      <c r="B7" s="288" t="s">
        <v>280</v>
      </c>
      <c r="C7" s="303"/>
      <c r="D7" s="303"/>
      <c r="E7" s="126"/>
    </row>
    <row r="8" spans="2:5">
      <c r="B8" s="301" t="s">
        <v>160</v>
      </c>
      <c r="C8" s="450">
        <v>6235674</v>
      </c>
      <c r="D8" s="454">
        <f>IF(inputPrYr!H16&gt;0,inputPrYr!H16,inputPrYr!E16)-96255</f>
        <v>7421649</v>
      </c>
      <c r="E8" s="219" t="s">
        <v>148</v>
      </c>
    </row>
    <row r="9" spans="2:5">
      <c r="B9" s="301" t="s">
        <v>161</v>
      </c>
      <c r="C9" s="450">
        <v>130233</v>
      </c>
      <c r="D9" s="450">
        <v>95000</v>
      </c>
      <c r="E9" s="741">
        <v>100000</v>
      </c>
    </row>
    <row r="10" spans="2:5">
      <c r="B10" s="301" t="s">
        <v>162</v>
      </c>
      <c r="C10" s="450">
        <v>840084</v>
      </c>
      <c r="D10" s="450">
        <v>830000</v>
      </c>
      <c r="E10" s="263">
        <f>mvalloc!E7</f>
        <v>800683.86</v>
      </c>
    </row>
    <row r="11" spans="2:5">
      <c r="B11" s="301" t="s">
        <v>163</v>
      </c>
      <c r="C11" s="450"/>
      <c r="D11" s="450"/>
      <c r="E11" s="263">
        <f>mvalloc!F7</f>
        <v>11326.32</v>
      </c>
    </row>
    <row r="12" spans="2:5">
      <c r="B12" s="303" t="s">
        <v>260</v>
      </c>
      <c r="C12" s="450"/>
      <c r="D12" s="450"/>
      <c r="E12" s="263">
        <f>mvalloc!G7</f>
        <v>34581.089999999997</v>
      </c>
    </row>
    <row r="13" spans="2:5">
      <c r="B13" s="301" t="s">
        <v>262</v>
      </c>
      <c r="C13" s="450"/>
      <c r="D13" s="450"/>
      <c r="E13" s="263">
        <f>inputOth!E11</f>
        <v>0</v>
      </c>
    </row>
    <row r="14" spans="2:5">
      <c r="B14" s="301" t="s">
        <v>333</v>
      </c>
      <c r="C14" s="450"/>
      <c r="D14" s="450"/>
      <c r="E14" s="263">
        <f>inputOth!E18</f>
        <v>0</v>
      </c>
    </row>
    <row r="15" spans="2:5">
      <c r="B15" s="301" t="s">
        <v>334</v>
      </c>
      <c r="C15" s="450"/>
      <c r="D15" s="450"/>
      <c r="E15" s="263">
        <f>inputOth!E19</f>
        <v>0</v>
      </c>
    </row>
    <row r="16" spans="2:5">
      <c r="B16" s="305" t="s">
        <v>166</v>
      </c>
      <c r="C16" s="450">
        <v>500</v>
      </c>
      <c r="D16" s="450">
        <v>375</v>
      </c>
      <c r="E16" s="304"/>
    </row>
    <row r="17" spans="2:5">
      <c r="B17" s="305" t="s">
        <v>164</v>
      </c>
      <c r="C17" s="450"/>
      <c r="D17" s="450"/>
      <c r="E17" s="304"/>
    </row>
    <row r="18" spans="2:5">
      <c r="B18" s="305" t="s">
        <v>679</v>
      </c>
      <c r="C18" s="450"/>
      <c r="D18" s="450"/>
      <c r="E18" s="304"/>
    </row>
    <row r="19" spans="2:5">
      <c r="B19" s="306" t="s">
        <v>680</v>
      </c>
      <c r="C19" s="450">
        <v>1953271</v>
      </c>
      <c r="D19" s="450">
        <v>2050000</v>
      </c>
      <c r="E19" s="741">
        <v>900000</v>
      </c>
    </row>
    <row r="20" spans="2:5">
      <c r="B20" s="306" t="s">
        <v>942</v>
      </c>
      <c r="C20" s="450">
        <f>269307+2321+50196</f>
        <v>321824</v>
      </c>
      <c r="D20" s="450">
        <v>320000</v>
      </c>
      <c r="E20" s="741">
        <f>200000+2000+45000</f>
        <v>247000</v>
      </c>
    </row>
    <row r="21" spans="2:5">
      <c r="B21" s="306" t="s">
        <v>943</v>
      </c>
      <c r="C21" s="450">
        <v>102403</v>
      </c>
      <c r="D21" s="450">
        <v>103530</v>
      </c>
      <c r="E21" s="741">
        <v>103530</v>
      </c>
    </row>
    <row r="22" spans="2:5">
      <c r="B22" s="305" t="s">
        <v>944</v>
      </c>
      <c r="C22" s="450">
        <f>1168+8+40406+119+25220</f>
        <v>66921</v>
      </c>
      <c r="D22" s="450">
        <v>70000</v>
      </c>
      <c r="E22" s="741">
        <f>600+40000+45000</f>
        <v>85600</v>
      </c>
    </row>
    <row r="23" spans="2:5">
      <c r="B23" s="305" t="s">
        <v>945</v>
      </c>
      <c r="C23" s="450">
        <f>221890+32769</f>
        <v>254659</v>
      </c>
      <c r="D23" s="450">
        <v>250000</v>
      </c>
      <c r="E23" s="741">
        <f>239600+37500</f>
        <v>277100</v>
      </c>
    </row>
    <row r="24" spans="2:5">
      <c r="B24" s="305" t="s">
        <v>340</v>
      </c>
      <c r="C24" s="450">
        <f>19613+975+43000</f>
        <v>63588</v>
      </c>
      <c r="D24" s="450">
        <v>63588</v>
      </c>
      <c r="E24" s="741">
        <f>6500+45000</f>
        <v>51500</v>
      </c>
    </row>
    <row r="25" spans="2:5">
      <c r="B25" s="305" t="s">
        <v>946</v>
      </c>
      <c r="C25" s="450">
        <v>42534</v>
      </c>
      <c r="D25" s="450">
        <v>42000</v>
      </c>
      <c r="E25" s="741">
        <v>40000</v>
      </c>
    </row>
    <row r="26" spans="2:5">
      <c r="B26" s="305" t="s">
        <v>947</v>
      </c>
      <c r="C26" s="450">
        <v>13117</v>
      </c>
      <c r="D26" s="450">
        <v>13117</v>
      </c>
      <c r="E26" s="741">
        <v>12000</v>
      </c>
    </row>
    <row r="27" spans="2:5">
      <c r="B27" s="305" t="s">
        <v>948</v>
      </c>
      <c r="C27" s="450">
        <v>20</v>
      </c>
      <c r="D27" s="450">
        <v>50</v>
      </c>
      <c r="E27" s="741">
        <v>0</v>
      </c>
    </row>
    <row r="28" spans="2:5">
      <c r="B28" s="305" t="s">
        <v>949</v>
      </c>
      <c r="C28" s="450">
        <v>1120</v>
      </c>
      <c r="D28" s="450">
        <v>1000</v>
      </c>
      <c r="E28" s="740"/>
    </row>
    <row r="29" spans="2:5">
      <c r="B29" s="305" t="s">
        <v>950</v>
      </c>
      <c r="C29" s="450">
        <v>1019</v>
      </c>
      <c r="D29" s="450">
        <v>1000</v>
      </c>
      <c r="E29" s="741">
        <v>3500</v>
      </c>
    </row>
    <row r="30" spans="2:5">
      <c r="B30" s="305" t="s">
        <v>951</v>
      </c>
      <c r="C30" s="450">
        <v>280</v>
      </c>
      <c r="D30" s="450">
        <v>200</v>
      </c>
      <c r="E30" s="740"/>
    </row>
    <row r="31" spans="2:5">
      <c r="B31" s="305" t="s">
        <v>996</v>
      </c>
      <c r="C31" s="450">
        <v>8367</v>
      </c>
      <c r="D31" s="450">
        <v>8000</v>
      </c>
      <c r="E31" s="740"/>
    </row>
    <row r="32" spans="2:5">
      <c r="B32" s="305" t="s">
        <v>1065</v>
      </c>
      <c r="C32" s="450">
        <v>33720</v>
      </c>
      <c r="D32" s="450">
        <v>38000</v>
      </c>
      <c r="E32" s="741">
        <v>30000</v>
      </c>
    </row>
    <row r="33" spans="2:5">
      <c r="B33" s="305" t="s">
        <v>952</v>
      </c>
      <c r="C33" s="450">
        <f>2175+7018</f>
        <v>9193</v>
      </c>
      <c r="D33" s="450">
        <v>8000</v>
      </c>
      <c r="E33" s="741">
        <v>2000</v>
      </c>
    </row>
    <row r="34" spans="2:5">
      <c r="B34" s="305" t="s">
        <v>953</v>
      </c>
      <c r="C34" s="450">
        <v>6795</v>
      </c>
      <c r="D34" s="450">
        <v>6000</v>
      </c>
      <c r="E34" s="741">
        <v>3500</v>
      </c>
    </row>
    <row r="35" spans="2:5">
      <c r="B35" s="305" t="s">
        <v>954</v>
      </c>
      <c r="C35" s="450">
        <v>2782</v>
      </c>
      <c r="D35" s="450">
        <v>2000</v>
      </c>
      <c r="E35" s="740"/>
    </row>
    <row r="36" spans="2:5">
      <c r="B36" s="305" t="s">
        <v>955</v>
      </c>
      <c r="C36" s="450">
        <v>21355</v>
      </c>
      <c r="D36" s="450">
        <v>20000</v>
      </c>
      <c r="E36" s="741">
        <v>27880</v>
      </c>
    </row>
    <row r="37" spans="2:5">
      <c r="B37" s="305" t="s">
        <v>956</v>
      </c>
      <c r="C37" s="450">
        <v>21514</v>
      </c>
      <c r="D37" s="450">
        <v>15000</v>
      </c>
      <c r="E37" s="741">
        <v>15000</v>
      </c>
    </row>
    <row r="38" spans="2:5">
      <c r="B38" s="305" t="s">
        <v>957</v>
      </c>
      <c r="C38" s="450">
        <f>8219+8000+1248+2767+730+12056+9205+24</f>
        <v>42249</v>
      </c>
      <c r="D38" s="450">
        <v>35000</v>
      </c>
      <c r="E38" s="741">
        <f>7500+8000+5000+2000</f>
        <v>22500</v>
      </c>
    </row>
    <row r="39" spans="2:5">
      <c r="B39" s="305" t="s">
        <v>1064</v>
      </c>
      <c r="C39" s="450">
        <v>6821</v>
      </c>
      <c r="D39" s="450">
        <v>250000</v>
      </c>
      <c r="E39" s="741">
        <v>9000</v>
      </c>
    </row>
    <row r="40" spans="2:5">
      <c r="B40" s="305" t="s">
        <v>958</v>
      </c>
      <c r="C40" s="450">
        <v>568</v>
      </c>
      <c r="D40" s="450"/>
      <c r="E40" s="740"/>
    </row>
    <row r="41" spans="2:5">
      <c r="B41" s="305" t="s">
        <v>959</v>
      </c>
      <c r="C41" s="450">
        <v>6603</v>
      </c>
      <c r="D41" s="450">
        <v>6603</v>
      </c>
      <c r="E41" s="740"/>
    </row>
    <row r="42" spans="2:5">
      <c r="B42" s="305" t="s">
        <v>960</v>
      </c>
      <c r="C42" s="450">
        <v>24919</v>
      </c>
      <c r="D42" s="450">
        <v>15000</v>
      </c>
      <c r="E42" s="741">
        <v>20000</v>
      </c>
    </row>
    <row r="43" spans="2:5">
      <c r="B43" s="305" t="s">
        <v>961</v>
      </c>
      <c r="C43" s="450">
        <v>0</v>
      </c>
      <c r="D43" s="450"/>
      <c r="E43" s="740"/>
    </row>
    <row r="44" spans="2:5">
      <c r="B44" s="305" t="s">
        <v>962</v>
      </c>
      <c r="C44" s="450">
        <v>15562</v>
      </c>
      <c r="D44" s="450">
        <v>0</v>
      </c>
      <c r="E44" s="740"/>
    </row>
    <row r="45" spans="2:5">
      <c r="B45" s="305" t="s">
        <v>963</v>
      </c>
      <c r="C45" s="450">
        <v>0</v>
      </c>
      <c r="D45" s="450"/>
      <c r="E45" s="740"/>
    </row>
    <row r="46" spans="2:5">
      <c r="B46" s="305" t="s">
        <v>1063</v>
      </c>
      <c r="C46" s="450">
        <v>330000</v>
      </c>
      <c r="D46" s="450">
        <v>330000</v>
      </c>
      <c r="E46" s="741">
        <v>200000</v>
      </c>
    </row>
    <row r="47" spans="2:5">
      <c r="B47" s="305" t="s">
        <v>1066</v>
      </c>
      <c r="C47" s="450"/>
      <c r="D47" s="450">
        <v>0</v>
      </c>
      <c r="E47" s="741">
        <v>6000</v>
      </c>
    </row>
    <row r="48" spans="2:5">
      <c r="B48" s="305" t="s">
        <v>1067</v>
      </c>
      <c r="C48" s="450">
        <f>14965+20895+8800</f>
        <v>44660</v>
      </c>
      <c r="D48" s="450">
        <v>45000</v>
      </c>
      <c r="E48" s="741">
        <f>12000+28000+5000</f>
        <v>45000</v>
      </c>
    </row>
    <row r="49" spans="2:5">
      <c r="B49" s="305"/>
      <c r="C49" s="450"/>
      <c r="D49" s="450"/>
      <c r="E49" s="740"/>
    </row>
    <row r="50" spans="2:5">
      <c r="B50" s="305" t="s">
        <v>165</v>
      </c>
      <c r="C50" s="450"/>
      <c r="D50" s="450"/>
      <c r="E50" s="740"/>
    </row>
    <row r="51" spans="2:5">
      <c r="B51" s="306" t="s">
        <v>167</v>
      </c>
      <c r="C51" s="450">
        <f>108793+16674</f>
        <v>125467</v>
      </c>
      <c r="D51" s="450">
        <v>130000</v>
      </c>
      <c r="E51" s="741">
        <f>100000+25000</f>
        <v>125000</v>
      </c>
    </row>
    <row r="52" spans="2:5">
      <c r="B52" s="307" t="s">
        <v>75</v>
      </c>
      <c r="C52" s="450">
        <f>7077+1517+1104+72+35+190+9680+301+210+2+600</f>
        <v>20788</v>
      </c>
      <c r="D52" s="450">
        <v>20000</v>
      </c>
      <c r="E52" s="741">
        <f>1000+3500+12000+3000+100+4+2500</f>
        <v>22104</v>
      </c>
    </row>
    <row r="53" spans="2:5">
      <c r="B53" s="307" t="s">
        <v>682</v>
      </c>
      <c r="C53" s="451" t="str">
        <f>IF(C54*0.1&lt;C52,"Exceed 10% Rule","")</f>
        <v/>
      </c>
      <c r="D53" s="451" t="str">
        <f>IF(D54*0.1&lt;D52,"Exceed 10% Rule","")</f>
        <v/>
      </c>
      <c r="E53" s="342" t="str">
        <f>IF(E54*0.1+E122&lt;E52,"Exceed 10% Rule","")</f>
        <v/>
      </c>
    </row>
    <row r="54" spans="2:5">
      <c r="B54" s="309" t="s">
        <v>168</v>
      </c>
      <c r="C54" s="452">
        <f>SUM(C8:C52)</f>
        <v>10748610</v>
      </c>
      <c r="D54" s="452">
        <f>SUM(D8:D52)</f>
        <v>12190112</v>
      </c>
      <c r="E54" s="350">
        <f>SUM(E9:E52)</f>
        <v>3194805.27</v>
      </c>
    </row>
    <row r="55" spans="2:5">
      <c r="B55" s="309" t="s">
        <v>169</v>
      </c>
      <c r="C55" s="452">
        <f>C6+C54</f>
        <v>14291808</v>
      </c>
      <c r="D55" s="452">
        <f>D6+D54</f>
        <v>14808407.1</v>
      </c>
      <c r="E55" s="350">
        <f>E6+E54</f>
        <v>5951768.3699999992</v>
      </c>
    </row>
    <row r="56" spans="2:5">
      <c r="B56" s="84"/>
      <c r="C56" s="226"/>
      <c r="D56" s="226"/>
      <c r="E56" s="226"/>
    </row>
    <row r="57" spans="2:5">
      <c r="B57" s="797" t="s">
        <v>288</v>
      </c>
      <c r="C57" s="797"/>
      <c r="D57" s="797"/>
      <c r="E57" s="797"/>
    </row>
    <row r="58" spans="2:5">
      <c r="B58" s="226" t="str">
        <f>inputPrYr!C2</f>
        <v>Lyon County</v>
      </c>
      <c r="C58" s="226"/>
      <c r="D58" s="226"/>
      <c r="E58" s="284">
        <f>inputPrYr!C4</f>
        <v>2014</v>
      </c>
    </row>
    <row r="59" spans="2:5">
      <c r="B59" s="84"/>
      <c r="C59" s="226"/>
      <c r="D59" s="226"/>
      <c r="E59" s="238"/>
    </row>
    <row r="60" spans="2:5">
      <c r="B60" s="311" t="s">
        <v>232</v>
      </c>
      <c r="C60" s="312"/>
      <c r="D60" s="312"/>
      <c r="E60" s="312"/>
    </row>
    <row r="61" spans="2:5">
      <c r="B61" s="84" t="s">
        <v>159</v>
      </c>
      <c r="C61" s="701" t="s">
        <v>842</v>
      </c>
      <c r="D61" s="702" t="s">
        <v>843</v>
      </c>
      <c r="E61" s="214" t="s">
        <v>844</v>
      </c>
    </row>
    <row r="62" spans="2:5">
      <c r="B62" s="113" t="s">
        <v>171</v>
      </c>
      <c r="C62" s="453" t="str">
        <f>CONCATENATE("Actual for ",E58-2,"")</f>
        <v>Actual for 2012</v>
      </c>
      <c r="D62" s="453" t="str">
        <f>CONCATENATE("Estimate for ",E58-1,"")</f>
        <v>Estimate for 2013</v>
      </c>
      <c r="E62" s="300" t="str">
        <f>CONCATENATE("Year for ",E58,"")</f>
        <v>Year for 2014</v>
      </c>
    </row>
    <row r="63" spans="2:5">
      <c r="B63" s="309" t="s">
        <v>169</v>
      </c>
      <c r="C63" s="454">
        <f>C55</f>
        <v>14291808</v>
      </c>
      <c r="D63" s="454">
        <f>D55</f>
        <v>14808407.1</v>
      </c>
      <c r="E63" s="263">
        <f>E55</f>
        <v>5951768.3699999992</v>
      </c>
    </row>
    <row r="64" spans="2:5">
      <c r="B64" s="301" t="s">
        <v>172</v>
      </c>
      <c r="C64" s="454"/>
      <c r="D64" s="454"/>
      <c r="E64" s="263"/>
    </row>
    <row r="65" spans="2:5">
      <c r="B65" s="303" t="str">
        <f>'gen-detail'!A7</f>
        <v>County Commission 10-01</v>
      </c>
      <c r="C65" s="454">
        <f>'gen-detail'!B13</f>
        <v>226905</v>
      </c>
      <c r="D65" s="454">
        <f>'gen-detail'!C13</f>
        <v>221600</v>
      </c>
      <c r="E65" s="263">
        <f>'gen-detail'!D13</f>
        <v>233355</v>
      </c>
    </row>
    <row r="66" spans="2:5">
      <c r="B66" s="303" t="str">
        <f>'gen-detail'!A14</f>
        <v>County Clerk 10-02</v>
      </c>
      <c r="C66" s="454">
        <f>'gen-detail'!B19</f>
        <v>219728</v>
      </c>
      <c r="D66" s="454">
        <f>'gen-detail'!C19</f>
        <v>236150</v>
      </c>
      <c r="E66" s="263">
        <f>'gen-detail'!D19</f>
        <v>254191</v>
      </c>
    </row>
    <row r="67" spans="2:5">
      <c r="B67" s="303" t="str">
        <f>'gen-detail'!A20</f>
        <v>County Treasurer 10-03</v>
      </c>
      <c r="C67" s="454">
        <f>'gen-detail'!B25</f>
        <v>169807</v>
      </c>
      <c r="D67" s="454">
        <f>'gen-detail'!C25</f>
        <v>181570</v>
      </c>
      <c r="E67" s="263">
        <f>'gen-detail'!D25</f>
        <v>228559</v>
      </c>
    </row>
    <row r="68" spans="2:5">
      <c r="B68" s="303" t="str">
        <f>'gen-detail'!A26</f>
        <v>County Attorney 10-04</v>
      </c>
      <c r="C68" s="454">
        <f>'gen-detail'!B31</f>
        <v>892462</v>
      </c>
      <c r="D68" s="454">
        <f>'gen-detail'!C31</f>
        <v>913325</v>
      </c>
      <c r="E68" s="263">
        <f>'gen-detail'!D31</f>
        <v>1034922</v>
      </c>
    </row>
    <row r="69" spans="2:5">
      <c r="B69" s="303" t="str">
        <f>'gen-detail'!A32</f>
        <v>Register of Deeds 10-05</v>
      </c>
      <c r="C69" s="454">
        <f>'gen-detail'!B37</f>
        <v>187211.6</v>
      </c>
      <c r="D69" s="454">
        <f>'gen-detail'!C37</f>
        <v>197476</v>
      </c>
      <c r="E69" s="263">
        <f>'gen-detail'!D37</f>
        <v>208595</v>
      </c>
    </row>
    <row r="70" spans="2:5">
      <c r="B70" s="303" t="str">
        <f>'gen-detail'!A38</f>
        <v>Solid Waste 10-06</v>
      </c>
      <c r="C70" s="454">
        <f>'gen-detail'!B43</f>
        <v>16853</v>
      </c>
      <c r="D70" s="454">
        <f>'gen-detail'!C43</f>
        <v>16000</v>
      </c>
      <c r="E70" s="263">
        <f>'gen-detail'!D43</f>
        <v>16100</v>
      </c>
    </row>
    <row r="71" spans="2:5">
      <c r="B71" s="303" t="str">
        <f>'gen-detail'!A44</f>
        <v>Unified Court 10-07</v>
      </c>
      <c r="C71" s="454">
        <f>'gen-detail'!B49</f>
        <v>518136.60000000003</v>
      </c>
      <c r="D71" s="454">
        <f>'gen-detail'!C49</f>
        <v>526500</v>
      </c>
      <c r="E71" s="263">
        <f>'gen-detail'!D49</f>
        <v>547212</v>
      </c>
    </row>
    <row r="72" spans="2:5">
      <c r="B72" s="303" t="str">
        <f>'gen-detail'!A50</f>
        <v>Courthouse General 10-08</v>
      </c>
      <c r="C72" s="454">
        <f>'gen-detail'!B55</f>
        <v>166941.80000000002</v>
      </c>
      <c r="D72" s="454">
        <f>'gen-detail'!C55</f>
        <v>152500</v>
      </c>
      <c r="E72" s="263">
        <f>'gen-detail'!D55</f>
        <v>154955</v>
      </c>
    </row>
    <row r="73" spans="2:5">
      <c r="B73" s="303" t="str">
        <f>'gen-detail'!A67</f>
        <v>Human Resources 10-09</v>
      </c>
      <c r="C73" s="454">
        <f>'gen-detail'!B72</f>
        <v>35524</v>
      </c>
      <c r="D73" s="454">
        <f>'gen-detail'!C72</f>
        <v>36730</v>
      </c>
      <c r="E73" s="263">
        <f>'gen-detail'!D72</f>
        <v>38840</v>
      </c>
    </row>
    <row r="74" spans="2:5">
      <c r="B74" s="303" t="str">
        <f>'gen-detail'!A73</f>
        <v>Emergency Management 10-10</v>
      </c>
      <c r="C74" s="454">
        <f>'gen-detail'!B78</f>
        <v>115898</v>
      </c>
      <c r="D74" s="454">
        <f>'gen-detail'!C78</f>
        <v>128880</v>
      </c>
      <c r="E74" s="263">
        <f>'gen-detail'!D78</f>
        <v>132704</v>
      </c>
    </row>
    <row r="75" spans="2:5">
      <c r="B75" s="303" t="str">
        <f>'gen-detail'!A79</f>
        <v>Juvenile Services 10-11</v>
      </c>
      <c r="C75" s="454">
        <f>'gen-detail'!B84</f>
        <v>235475</v>
      </c>
      <c r="D75" s="454">
        <f>'gen-detail'!C84</f>
        <v>262849</v>
      </c>
      <c r="E75" s="263">
        <f>'gen-detail'!D84</f>
        <v>316478</v>
      </c>
    </row>
    <row r="76" spans="2:5">
      <c r="B76" s="303" t="str">
        <f>'gen-detail'!A85</f>
        <v>County Coroner 10-12</v>
      </c>
      <c r="C76" s="454">
        <f>'gen-detail'!B90</f>
        <v>68572</v>
      </c>
      <c r="D76" s="454">
        <f>'gen-detail'!C90</f>
        <v>68000</v>
      </c>
      <c r="E76" s="263">
        <f>'gen-detail'!D90</f>
        <v>66950</v>
      </c>
    </row>
    <row r="77" spans="2:5">
      <c r="B77" s="303" t="str">
        <f>'gen-detail'!A91</f>
        <v>County Wide Zoning 10-15</v>
      </c>
      <c r="C77" s="454">
        <f>'gen-detail'!B96</f>
        <v>52494</v>
      </c>
      <c r="D77" s="454">
        <f>'gen-detail'!C96</f>
        <v>57100</v>
      </c>
      <c r="E77" s="263">
        <f>'gen-detail'!D96</f>
        <v>62785</v>
      </c>
    </row>
    <row r="78" spans="2:5">
      <c r="B78" s="303" t="str">
        <f>'gen-detail'!A97</f>
        <v>Finance, Data Processing &amp; Payroll 10-16</v>
      </c>
      <c r="C78" s="454">
        <f>'gen-detail'!B102</f>
        <v>184777</v>
      </c>
      <c r="D78" s="454">
        <f>'gen-detail'!C102</f>
        <v>163409</v>
      </c>
      <c r="E78" s="263">
        <f>'gen-detail'!D102</f>
        <v>170499</v>
      </c>
    </row>
    <row r="79" spans="2:5">
      <c r="B79" s="303" t="str">
        <f>'gen-detail'!A103</f>
        <v>Law Enforcement 10-17</v>
      </c>
      <c r="C79" s="454">
        <f>'gen-detail'!B108</f>
        <v>2484882</v>
      </c>
      <c r="D79" s="454">
        <f>'gen-detail'!C108</f>
        <v>2496200</v>
      </c>
      <c r="E79" s="263">
        <f>'gen-detail'!D108</f>
        <v>2640475</v>
      </c>
    </row>
    <row r="80" spans="2:5">
      <c r="B80" s="303" t="str">
        <f>'gen-detail'!A109</f>
        <v>County General 10-18</v>
      </c>
      <c r="C80" s="454">
        <f>'gen-detail'!B114</f>
        <v>74569</v>
      </c>
      <c r="D80" s="454">
        <f>'gen-detail'!C114</f>
        <v>69000</v>
      </c>
      <c r="E80" s="263">
        <f>'gen-detail'!D114</f>
        <v>131500</v>
      </c>
    </row>
    <row r="81" spans="2:5">
      <c r="B81" s="303" t="str">
        <f>'gen-detail'!A125</f>
        <v>Jail Management 10-20</v>
      </c>
      <c r="C81" s="454">
        <f>'gen-detail'!B132</f>
        <v>2335008</v>
      </c>
      <c r="D81" s="454">
        <f>'gen-detail'!C132</f>
        <v>2416517</v>
      </c>
      <c r="E81" s="263">
        <f>'gen-detail'!D132</f>
        <v>2590577</v>
      </c>
    </row>
    <row r="82" spans="2:5">
      <c r="B82" s="303" t="str">
        <f>'gen-detail'!A133</f>
        <v>Direct Election 10-21</v>
      </c>
      <c r="C82" s="454">
        <f>'gen-detail'!B138</f>
        <v>178265</v>
      </c>
      <c r="D82" s="454">
        <f>'gen-detail'!C138</f>
        <v>215834</v>
      </c>
      <c r="E82" s="263">
        <f>'gen-detail'!D138</f>
        <v>246005</v>
      </c>
    </row>
    <row r="83" spans="2:5">
      <c r="B83" s="303" t="str">
        <f>'gen-detail'!A139</f>
        <v>Extension 10-22</v>
      </c>
      <c r="C83" s="454">
        <f>'gen-detail'!B144</f>
        <v>223900</v>
      </c>
      <c r="D83" s="454">
        <f>'gen-detail'!C144</f>
        <v>263900</v>
      </c>
      <c r="E83" s="263">
        <f>'gen-detail'!D144</f>
        <v>263900</v>
      </c>
    </row>
    <row r="84" spans="2:5">
      <c r="B84" s="303" t="str">
        <f>'gen-detail'!A145</f>
        <v>Appraisal 10-25</v>
      </c>
      <c r="C84" s="454">
        <f>'gen-detail'!B150</f>
        <v>583522</v>
      </c>
      <c r="D84" s="454">
        <f>'gen-detail'!C150</f>
        <v>608518</v>
      </c>
      <c r="E84" s="263">
        <f>'gen-detail'!D150</f>
        <v>655678</v>
      </c>
    </row>
    <row r="85" spans="2:5">
      <c r="B85" s="303" t="str">
        <f>'gen-detail'!A151</f>
        <v>Ambulance 10-27</v>
      </c>
      <c r="C85" s="454">
        <f>'gen-detail'!B156</f>
        <v>350000</v>
      </c>
      <c r="D85" s="454">
        <f>'gen-detail'!C156</f>
        <v>387500</v>
      </c>
      <c r="E85" s="263">
        <f>'gen-detail'!D156</f>
        <v>375000</v>
      </c>
    </row>
    <row r="86" spans="2:5">
      <c r="B86" s="303" t="str">
        <f>'gen-detail'!A157</f>
        <v>Historical Society 10-29</v>
      </c>
      <c r="C86" s="454">
        <f>'gen-detail'!B162</f>
        <v>100000</v>
      </c>
      <c r="D86" s="454">
        <f>'gen-detail'!C162</f>
        <v>100000</v>
      </c>
      <c r="E86" s="263">
        <f>'gen-detail'!D162</f>
        <v>100000</v>
      </c>
    </row>
    <row r="87" spans="2:5">
      <c r="B87" s="303" t="str">
        <f>'gen-detail'!A163</f>
        <v>Soil Conservation 10-30</v>
      </c>
      <c r="C87" s="454">
        <f>'gen-detail'!B168</f>
        <v>27000</v>
      </c>
      <c r="D87" s="454">
        <f>'gen-detail'!C168</f>
        <v>27000</v>
      </c>
      <c r="E87" s="263">
        <f>'gen-detail'!D168</f>
        <v>27000</v>
      </c>
    </row>
    <row r="88" spans="2:5">
      <c r="B88" s="303" t="str">
        <f>'gen-detail'!A169</f>
        <v>Household Waste 10-31</v>
      </c>
      <c r="C88" s="454">
        <f>'gen-detail'!B174</f>
        <v>76788</v>
      </c>
      <c r="D88" s="454">
        <f>'gen-detail'!C174</f>
        <v>90180</v>
      </c>
      <c r="E88" s="263">
        <f>'gen-detail'!D174</f>
        <v>95586</v>
      </c>
    </row>
    <row r="89" spans="2:5">
      <c r="B89" s="303" t="str">
        <f>'gen-detail'!A185</f>
        <v>Administrative Services 10-32</v>
      </c>
      <c r="C89" s="454">
        <f>'gen-detail'!B190</f>
        <v>35880</v>
      </c>
      <c r="D89" s="454">
        <f>'gen-detail'!C190</f>
        <v>43040</v>
      </c>
      <c r="E89" s="263">
        <f>'gen-detail'!D190</f>
        <v>67040</v>
      </c>
    </row>
    <row r="90" spans="2:5">
      <c r="B90" s="303" t="str">
        <f>'gen-detail'!A191</f>
        <v>Assistant County Counselor 10-33</v>
      </c>
      <c r="C90" s="454">
        <f>'gen-detail'!B196</f>
        <v>91094</v>
      </c>
      <c r="D90" s="454">
        <f>'gen-detail'!C196</f>
        <v>133656</v>
      </c>
      <c r="E90" s="263">
        <f>'gen-detail'!D196</f>
        <v>137073</v>
      </c>
    </row>
    <row r="91" spans="2:5">
      <c r="B91" s="303" t="str">
        <f>'gen-detail'!A197</f>
        <v>Fair Building 10-36</v>
      </c>
      <c r="C91" s="454">
        <f>'gen-detail'!B202</f>
        <v>63000</v>
      </c>
      <c r="D91" s="454">
        <f>'gen-detail'!C202</f>
        <v>53000</v>
      </c>
      <c r="E91" s="263">
        <f>'gen-detail'!D202</f>
        <v>55000</v>
      </c>
    </row>
    <row r="92" spans="2:5">
      <c r="B92" s="303" t="str">
        <f>'gen-detail'!A203</f>
        <v>Fair Board 10-46</v>
      </c>
      <c r="C92" s="454">
        <f>'gen-detail'!B209</f>
        <v>101875.4</v>
      </c>
      <c r="D92" s="454">
        <f>'gen-detail'!C209</f>
        <v>64350</v>
      </c>
      <c r="E92" s="263">
        <f>'gen-detail'!D209</f>
        <v>72265</v>
      </c>
    </row>
    <row r="93" spans="2:5">
      <c r="B93" s="303" t="str">
        <f>'gen-detail'!A210</f>
        <v>Information Technology 10-51</v>
      </c>
      <c r="C93" s="454">
        <f>'gen-detail'!B215</f>
        <v>134157</v>
      </c>
      <c r="D93" s="454">
        <f>'gen-detail'!C215</f>
        <v>157061</v>
      </c>
      <c r="E93" s="263">
        <f>'gen-detail'!D215</f>
        <v>172369</v>
      </c>
    </row>
    <row r="94" spans="2:5">
      <c r="B94" s="303" t="str">
        <f>'gen-detail'!A216</f>
        <v>Employee Benefit 10-58</v>
      </c>
      <c r="C94" s="454">
        <f>'gen-detail'!B221</f>
        <v>2040</v>
      </c>
      <c r="D94" s="454">
        <f>'gen-detail'!C221</f>
        <v>1700</v>
      </c>
      <c r="E94" s="263">
        <f>'gen-detail'!D221</f>
        <v>163900</v>
      </c>
    </row>
    <row r="95" spans="2:5">
      <c r="B95" s="303" t="str">
        <f>'gen-detail'!A222</f>
        <v>Other</v>
      </c>
      <c r="C95" s="454">
        <f>'gen-detail'!B223</f>
        <v>0</v>
      </c>
      <c r="D95" s="454">
        <f>'gen-detail'!C223</f>
        <v>0</v>
      </c>
      <c r="E95" s="263">
        <f>'gen-detail'!D223</f>
        <v>0</v>
      </c>
    </row>
    <row r="96" spans="2:5">
      <c r="B96" s="303" t="str">
        <f>'gen-detail'!A225</f>
        <v>Dept of Aging 10-61</v>
      </c>
      <c r="C96" s="454">
        <f>'gen-detail'!B230</f>
        <v>157748.69999999998</v>
      </c>
      <c r="D96" s="454">
        <f>'gen-detail'!C230</f>
        <v>166500</v>
      </c>
      <c r="E96" s="263">
        <f>'gen-detail'!D230</f>
        <v>175795</v>
      </c>
    </row>
    <row r="97" spans="2:10">
      <c r="B97" s="303" t="str">
        <f>'gen-detail'!A231</f>
        <v>Retired Senior Volunteer Program 10-62</v>
      </c>
      <c r="C97" s="454">
        <f>'gen-detail'!B236</f>
        <v>47544</v>
      </c>
      <c r="D97" s="454">
        <f>'gen-detail'!C236</f>
        <v>58163</v>
      </c>
      <c r="E97" s="263">
        <f>'gen-detail'!D236</f>
        <v>59420</v>
      </c>
    </row>
    <row r="98" spans="2:10">
      <c r="B98" s="303" t="str">
        <f>'gen-detail'!A247</f>
        <v>Transportation - first half 10-63</v>
      </c>
      <c r="C98" s="454">
        <f>'gen-detail'!B252</f>
        <v>183063.8</v>
      </c>
      <c r="D98" s="454">
        <f>'gen-detail'!C252</f>
        <v>180565</v>
      </c>
      <c r="E98" s="263">
        <f>'gen-detail'!D252</f>
        <v>224122</v>
      </c>
    </row>
    <row r="99" spans="2:10">
      <c r="B99" s="303" t="str">
        <f>'gen-detail'!A253</f>
        <v>Transportation - second half 10-64</v>
      </c>
      <c r="C99" s="454">
        <f>'gen-detail'!B258</f>
        <v>174937</v>
      </c>
      <c r="D99" s="454">
        <f>'gen-detail'!C258</f>
        <v>181248</v>
      </c>
      <c r="E99" s="263">
        <f>'gen-detail'!D258</f>
        <v>225734</v>
      </c>
    </row>
    <row r="100" spans="2:10">
      <c r="B100" s="303" t="str">
        <f>'gen-detail'!A259</f>
        <v>County Facility Management 10-70</v>
      </c>
      <c r="C100" s="454">
        <f>'gen-detail'!B264</f>
        <v>1173708</v>
      </c>
      <c r="D100" s="454">
        <f>'gen-detail'!C264</f>
        <v>1175423</v>
      </c>
      <c r="E100" s="263">
        <f>'gen-detail'!D264</f>
        <v>1181163</v>
      </c>
    </row>
    <row r="101" spans="2:10">
      <c r="B101" s="303" t="str">
        <f>'gen-detail'!A265</f>
        <v>Dentention Center</v>
      </c>
      <c r="C101" s="454">
        <f>'gen-detail'!B270</f>
        <v>0</v>
      </c>
      <c r="D101" s="454">
        <f>'gen-detail'!C270</f>
        <v>0</v>
      </c>
      <c r="E101" s="263">
        <f>'gen-detail'!D270</f>
        <v>0</v>
      </c>
    </row>
    <row r="102" spans="2:10">
      <c r="B102" s="303">
        <f>'gen-detail'!A271</f>
        <v>0</v>
      </c>
      <c r="C102" s="454">
        <f>'gen-detail'!B274</f>
        <v>0</v>
      </c>
      <c r="D102" s="454">
        <f>'gen-detail'!C274</f>
        <v>0</v>
      </c>
      <c r="E102" s="263">
        <f>'gen-detail'!D274</f>
        <v>0</v>
      </c>
    </row>
    <row r="103" spans="2:10">
      <c r="B103" s="303">
        <f>'gen-detail'!A275</f>
        <v>0</v>
      </c>
      <c r="C103" s="454">
        <f>'gen-detail'!B280</f>
        <v>0</v>
      </c>
      <c r="D103" s="454">
        <f>'gen-detail'!C280</f>
        <v>0</v>
      </c>
      <c r="E103" s="263">
        <f>'gen-detail'!D280</f>
        <v>0</v>
      </c>
    </row>
    <row r="104" spans="2:10">
      <c r="B104" s="303">
        <f>'gen-detail'!A281</f>
        <v>0</v>
      </c>
      <c r="C104" s="454">
        <f>'gen-detail'!B286</f>
        <v>0</v>
      </c>
      <c r="D104" s="454">
        <f>'gen-detail'!C286</f>
        <v>0</v>
      </c>
      <c r="E104" s="263">
        <f>'gen-detail'!D286</f>
        <v>0</v>
      </c>
    </row>
    <row r="105" spans="2:10">
      <c r="B105" s="314" t="s">
        <v>30</v>
      </c>
      <c r="C105" s="483">
        <f>SUM(C65:C104)</f>
        <v>11689766.9</v>
      </c>
      <c r="D105" s="483">
        <f>SUM(D65:D104)</f>
        <v>12051444</v>
      </c>
      <c r="E105" s="346">
        <f>SUM(E65:E104)</f>
        <v>13125747</v>
      </c>
    </row>
    <row r="106" spans="2:10">
      <c r="B106" s="316" t="s">
        <v>968</v>
      </c>
      <c r="C106" s="450">
        <v>-16254</v>
      </c>
      <c r="D106" s="450"/>
      <c r="E106" s="111"/>
    </row>
    <row r="107" spans="2:10">
      <c r="B107" s="316"/>
      <c r="C107" s="450"/>
      <c r="D107" s="450"/>
      <c r="E107" s="111"/>
      <c r="G107" s="800" t="str">
        <f>CONCATENATE("Desired Carryover Into ",E1+1,"")</f>
        <v>Desired Carryover Into 2015</v>
      </c>
      <c r="H107" s="801"/>
      <c r="I107" s="801"/>
      <c r="J107" s="802"/>
    </row>
    <row r="108" spans="2:10">
      <c r="B108" s="316"/>
      <c r="C108" s="450"/>
      <c r="D108" s="450"/>
      <c r="E108" s="111"/>
      <c r="G108" s="648"/>
      <c r="H108" s="649"/>
      <c r="I108" s="650"/>
      <c r="J108" s="651"/>
    </row>
    <row r="109" spans="2:10">
      <c r="B109" s="316"/>
      <c r="C109" s="450"/>
      <c r="D109" s="450"/>
      <c r="E109" s="111"/>
      <c r="G109" s="652" t="s">
        <v>688</v>
      </c>
      <c r="H109" s="650"/>
      <c r="I109" s="650"/>
      <c r="J109" s="653">
        <v>0</v>
      </c>
    </row>
    <row r="110" spans="2:10">
      <c r="B110" s="316"/>
      <c r="C110" s="450"/>
      <c r="D110" s="450"/>
      <c r="E110" s="111"/>
      <c r="G110" s="648" t="s">
        <v>689</v>
      </c>
      <c r="H110" s="649"/>
      <c r="I110" s="649"/>
      <c r="J110" s="654" t="str">
        <f>IF(J109=0,"",ROUND((J109+E122-G122)/inputOth!E6*1000,3)-G127)</f>
        <v/>
      </c>
    </row>
    <row r="111" spans="2:10">
      <c r="B111" s="316"/>
      <c r="C111" s="450"/>
      <c r="D111" s="450"/>
      <c r="E111" s="111"/>
      <c r="G111" s="655" t="str">
        <f>CONCATENATE("",E1," Tot Exp/Non-Appr Must Be:")</f>
        <v>2014 Tot Exp/Non-Appr Must Be:</v>
      </c>
      <c r="H111" s="656"/>
      <c r="I111" s="657"/>
      <c r="J111" s="658">
        <f>IF(J109&gt;0,IF(E119&lt;E55,IF(J109=G122,E119,((J109-G122)*(1-D121))+E55),E119+(J109-G122)),0)</f>
        <v>0</v>
      </c>
    </row>
    <row r="112" spans="2:10">
      <c r="B112" s="307" t="s">
        <v>77</v>
      </c>
      <c r="C112" s="450"/>
      <c r="D112" s="450"/>
      <c r="E112" s="119" t="str">
        <f>Nhood!$E6</f>
        <v/>
      </c>
      <c r="G112" s="659" t="s">
        <v>840</v>
      </c>
      <c r="H112" s="660"/>
      <c r="I112" s="660"/>
      <c r="J112" s="661">
        <f>IF(J109&gt;0,J111-E119,0)</f>
        <v>0</v>
      </c>
    </row>
    <row r="113" spans="2:11">
      <c r="B113" s="307" t="s">
        <v>75</v>
      </c>
      <c r="C113" s="450"/>
      <c r="D113" s="450"/>
      <c r="E113" s="111"/>
    </row>
    <row r="114" spans="2:11">
      <c r="B114" s="307" t="s">
        <v>681</v>
      </c>
      <c r="C114" s="451" t="str">
        <f>IF(C115*0.1&lt;C113,"Exceed 10% Rule","")</f>
        <v/>
      </c>
      <c r="D114" s="451" t="str">
        <f>IF(D115*0.1&lt;D113,"Exceed 10% Rule","")</f>
        <v/>
      </c>
      <c r="E114" s="342" t="str">
        <f>IF(E115*0.1&lt;E113,"Exceed 10% Rule","")</f>
        <v/>
      </c>
      <c r="G114" s="794" t="str">
        <f>CONCATENATE("Projected Carryover Into ",E1+1,"")</f>
        <v>Projected Carryover Into 2015</v>
      </c>
      <c r="H114" s="795"/>
      <c r="I114" s="795"/>
      <c r="J114" s="796"/>
    </row>
    <row r="115" spans="2:11">
      <c r="B115" s="309" t="s">
        <v>173</v>
      </c>
      <c r="C115" s="452">
        <f>SUM(C105:C113)</f>
        <v>11673512.9</v>
      </c>
      <c r="D115" s="452">
        <f>SUM(D105:D113)</f>
        <v>12051444</v>
      </c>
      <c r="E115" s="350">
        <f>SUM(E105:E113)</f>
        <v>13125747</v>
      </c>
      <c r="G115" s="515"/>
      <c r="H115" s="514"/>
      <c r="I115" s="514"/>
      <c r="J115" s="516"/>
    </row>
    <row r="116" spans="2:11">
      <c r="B116" s="147" t="s">
        <v>279</v>
      </c>
      <c r="C116" s="455">
        <f>C55-C115</f>
        <v>2618295.0999999996</v>
      </c>
      <c r="D116" s="455">
        <f>D55-D115</f>
        <v>2756963.0999999996</v>
      </c>
      <c r="E116" s="219" t="s">
        <v>148</v>
      </c>
      <c r="G116" s="501">
        <f>D116</f>
        <v>2756963.0999999996</v>
      </c>
      <c r="H116" s="499" t="str">
        <f>CONCATENATE("",E1-1," Ending Cash Balance (est.)")</f>
        <v>2013 Ending Cash Balance (est.)</v>
      </c>
      <c r="I116" s="498"/>
      <c r="J116" s="516"/>
    </row>
    <row r="117" spans="2:11">
      <c r="B117" s="285" t="str">
        <f>CONCATENATE("",E$1-2,"/",E$1-1," Budget Authority Amount:")</f>
        <v>2012/2013 Budget Authority Amount:</v>
      </c>
      <c r="C117" s="277">
        <f>inputOth!$B30</f>
        <v>12356731</v>
      </c>
      <c r="D117" s="277">
        <f>inputPrYr!$D16</f>
        <v>12356731</v>
      </c>
      <c r="E117" s="219" t="s">
        <v>148</v>
      </c>
      <c r="F117" s="318"/>
      <c r="G117" s="501">
        <f>E54</f>
        <v>3194805.27</v>
      </c>
      <c r="H117" s="497" t="str">
        <f>CONCATENATE("",E1," Non-AV Receipts (est.)")</f>
        <v>2014 Non-AV Receipts (est.)</v>
      </c>
      <c r="I117" s="498"/>
      <c r="J117" s="516"/>
    </row>
    <row r="118" spans="2:11">
      <c r="B118" s="285"/>
      <c r="C118" s="790" t="s">
        <v>685</v>
      </c>
      <c r="D118" s="791"/>
      <c r="E118" s="111">
        <v>650000</v>
      </c>
      <c r="F118" s="500" t="str">
        <f>IF(E115/0.95-E115&lt;E118,"Exceeds 5%","")</f>
        <v/>
      </c>
      <c r="G118" s="496">
        <f>IF(E121&gt;0,E120,E122)</f>
        <v>7823978.6300000008</v>
      </c>
      <c r="H118" s="497" t="str">
        <f>CONCATENATE("",E1," Ad Valorem Tax (est.)")</f>
        <v>2014 Ad Valorem Tax (est.)</v>
      </c>
      <c r="I118" s="498"/>
      <c r="J118" s="516"/>
      <c r="K118" s="664" t="str">
        <f>IF(G118=E122,"","Note: Does not include Delinquent Taxes")</f>
        <v>Note: Does not include Delinquent Taxes</v>
      </c>
    </row>
    <row r="119" spans="2:11">
      <c r="B119" s="504" t="str">
        <f>CONCATENATE(C134,"     ",D134)</f>
        <v xml:space="preserve">     </v>
      </c>
      <c r="C119" s="792" t="s">
        <v>686</v>
      </c>
      <c r="D119" s="793"/>
      <c r="E119" s="263">
        <f>E115+E118</f>
        <v>13775747</v>
      </c>
      <c r="G119" s="501">
        <f>SUM(G116:G118)</f>
        <v>13775747</v>
      </c>
      <c r="H119" s="497" t="str">
        <f>CONCATENATE("Total ",E1," Resources Available")</f>
        <v>Total 2014 Resources Available</v>
      </c>
      <c r="I119" s="498"/>
      <c r="J119" s="516"/>
    </row>
    <row r="120" spans="2:11">
      <c r="B120" s="504" t="str">
        <f>CONCATENATE(C135,"     ",D135)</f>
        <v xml:space="preserve">     </v>
      </c>
      <c r="C120" s="319"/>
      <c r="D120" s="238" t="s">
        <v>174</v>
      </c>
      <c r="E120" s="119">
        <f>IF(E119-E55&gt;0,E119-E55,0)</f>
        <v>7823978.6300000008</v>
      </c>
      <c r="G120" s="495"/>
      <c r="H120" s="497"/>
      <c r="I120" s="497"/>
      <c r="J120" s="516"/>
    </row>
    <row r="121" spans="2:11">
      <c r="B121" s="285"/>
      <c r="C121" s="502" t="s">
        <v>687</v>
      </c>
      <c r="D121" s="647">
        <f>inputOth!$E$23</f>
        <v>0.03</v>
      </c>
      <c r="E121" s="263">
        <f>IF(D121&gt;0,(E120*D121),0)</f>
        <v>234719.35890000002</v>
      </c>
      <c r="G121" s="496">
        <f>C115*0.05+C115</f>
        <v>12257188.545</v>
      </c>
      <c r="H121" s="497" t="str">
        <f>CONCATENATE("Less ",E1-2," Expenditures + 5%")</f>
        <v>Less 2012 Expenditures + 5%</v>
      </c>
      <c r="I121" s="498"/>
      <c r="J121" s="516"/>
    </row>
    <row r="122" spans="2:11">
      <c r="B122" s="84"/>
      <c r="C122" s="798" t="str">
        <f>CONCATENATE("Amount of  ",$E$1-1," Ad Valorem Tax")</f>
        <v>Amount of  2013 Ad Valorem Tax</v>
      </c>
      <c r="D122" s="799"/>
      <c r="E122" s="346">
        <f>E120+E121</f>
        <v>8058697.9889000012</v>
      </c>
      <c r="G122" s="494">
        <f>G119-G121</f>
        <v>1518558.4550000001</v>
      </c>
      <c r="H122" s="493" t="str">
        <f>CONCATENATE("Projected ",E1," Carryover (est.)")</f>
        <v>Projected 2014 Carryover (est.)</v>
      </c>
      <c r="I122" s="472"/>
      <c r="J122" s="471"/>
    </row>
    <row r="123" spans="2:11">
      <c r="B123" s="84"/>
      <c r="C123" s="84"/>
      <c r="D123" s="84"/>
      <c r="E123" s="84"/>
      <c r="G123" s="511"/>
      <c r="H123" s="511"/>
      <c r="I123" s="511"/>
      <c r="J123" s="511"/>
    </row>
    <row r="124" spans="2:11">
      <c r="B124" s="797" t="s">
        <v>289</v>
      </c>
      <c r="C124" s="797"/>
      <c r="D124" s="797"/>
      <c r="E124" s="797"/>
      <c r="G124" s="803" t="s">
        <v>841</v>
      </c>
      <c r="H124" s="804"/>
      <c r="I124" s="804"/>
      <c r="J124" s="805"/>
    </row>
    <row r="125" spans="2:11">
      <c r="G125" s="666"/>
      <c r="H125" s="667"/>
      <c r="I125" s="668"/>
      <c r="J125" s="669"/>
    </row>
    <row r="126" spans="2:11">
      <c r="G126" s="670">
        <f>summ!H16</f>
        <v>29.955200000000001</v>
      </c>
      <c r="H126" s="667" t="str">
        <f>CONCATENATE("",E1," Fund Mill Rate")</f>
        <v>2014 Fund Mill Rate</v>
      </c>
      <c r="I126" s="668"/>
      <c r="J126" s="669"/>
    </row>
    <row r="127" spans="2:11">
      <c r="E127" s="382"/>
      <c r="G127" s="671">
        <f>summ!E16</f>
        <v>31.97</v>
      </c>
      <c r="H127" s="667" t="str">
        <f>CONCATENATE("",E1-1," Fund Mill Rate")</f>
        <v>2013 Fund Mill Rate</v>
      </c>
      <c r="I127" s="668"/>
      <c r="J127" s="669"/>
    </row>
    <row r="128" spans="2:11">
      <c r="G128" s="672">
        <f>summ!H61</f>
        <v>56.5124</v>
      </c>
      <c r="H128" s="667" t="str">
        <f>CONCATENATE("Total ",E1," Mill Rate")</f>
        <v>Total 2014 Mill Rate</v>
      </c>
      <c r="I128" s="668"/>
      <c r="J128" s="669"/>
    </row>
    <row r="129" spans="3:10">
      <c r="G129" s="671">
        <f>summ!E61</f>
        <v>63.972000000000008</v>
      </c>
      <c r="H129" s="673" t="str">
        <f>CONCATENATE("Total ",E1-1," Mill Rate")</f>
        <v>Total 2013 Mill Rate</v>
      </c>
      <c r="I129" s="674"/>
      <c r="J129" s="675"/>
    </row>
    <row r="130" spans="3:10">
      <c r="G130" s="708"/>
      <c r="H130" s="517"/>
      <c r="I130" s="706"/>
      <c r="J130" s="707"/>
    </row>
    <row r="134" spans="3:10" hidden="1">
      <c r="C134" s="71" t="str">
        <f>IF(C115&gt;C117,"See Tab A","")</f>
        <v/>
      </c>
      <c r="D134" s="71" t="str">
        <f>IF(D115&gt;D117,"See Tab C","")</f>
        <v/>
      </c>
    </row>
    <row r="135" spans="3:10" hidden="1">
      <c r="C135" s="71" t="str">
        <f>IF(C116&lt;0,"See Tab B","")</f>
        <v/>
      </c>
      <c r="D135" s="71" t="str">
        <f>IF(D116&lt;0,"See Tab D","")</f>
        <v/>
      </c>
    </row>
  </sheetData>
  <mergeCells count="8">
    <mergeCell ref="C118:D118"/>
    <mergeCell ref="C119:D119"/>
    <mergeCell ref="G114:J114"/>
    <mergeCell ref="B57:E57"/>
    <mergeCell ref="B124:E124"/>
    <mergeCell ref="C122:D122"/>
    <mergeCell ref="G107:J107"/>
    <mergeCell ref="G124:J124"/>
  </mergeCells>
  <phoneticPr fontId="0" type="noConversion"/>
  <conditionalFormatting sqref="E113">
    <cfRule type="cellIs" dxfId="407" priority="2" stopIfTrue="1" operator="greaterThan">
      <formula>$E$115*0.1</formula>
    </cfRule>
  </conditionalFormatting>
  <conditionalFormatting sqref="E118">
    <cfRule type="cellIs" dxfId="406" priority="3" stopIfTrue="1" operator="greaterThan">
      <formula>$E$115/0.95-$E$115</formula>
    </cfRule>
  </conditionalFormatting>
  <conditionalFormatting sqref="D113">
    <cfRule type="cellIs" dxfId="405" priority="4" stopIfTrue="1" operator="greaterThan">
      <formula>$D$115*0.1</formula>
    </cfRule>
  </conditionalFormatting>
  <conditionalFormatting sqref="C113">
    <cfRule type="cellIs" dxfId="404" priority="5" stopIfTrue="1" operator="greaterThan">
      <formula>$C$115*0.1</formula>
    </cfRule>
  </conditionalFormatting>
  <conditionalFormatting sqref="C116">
    <cfRule type="cellIs" dxfId="403" priority="6" stopIfTrue="1" operator="lessThan">
      <formula>0</formula>
    </cfRule>
  </conditionalFormatting>
  <conditionalFormatting sqref="D115">
    <cfRule type="cellIs" dxfId="402" priority="7" stopIfTrue="1" operator="greaterThan">
      <formula>$D$117</formula>
    </cfRule>
  </conditionalFormatting>
  <conditionalFormatting sqref="C115">
    <cfRule type="cellIs" dxfId="401" priority="8" stopIfTrue="1" operator="greaterThan">
      <formula>$C$117</formula>
    </cfRule>
  </conditionalFormatting>
  <conditionalFormatting sqref="D52">
    <cfRule type="cellIs" dxfId="400" priority="9" stopIfTrue="1" operator="greaterThan">
      <formula>$D$54*0.1</formula>
    </cfRule>
  </conditionalFormatting>
  <conditionalFormatting sqref="C52">
    <cfRule type="cellIs" dxfId="399" priority="10" stopIfTrue="1" operator="greaterThan">
      <formula>$C$54*0.1</formula>
    </cfRule>
  </conditionalFormatting>
  <conditionalFormatting sqref="E52">
    <cfRule type="cellIs" dxfId="398" priority="11" stopIfTrue="1" operator="greaterThan">
      <formula>$E$54*0.1+E122</formula>
    </cfRule>
  </conditionalFormatting>
  <conditionalFormatting sqref="D116">
    <cfRule type="cellIs" dxfId="397" priority="1" stopIfTrue="1" operator="lessThan">
      <formula>0</formula>
    </cfRule>
  </conditionalFormatting>
  <pageMargins left="1" right="0.5" top="0.71" bottom="0.36" header="0.39" footer="0"/>
  <pageSetup scale="65" fitToHeight="2" orientation="portrait" blackAndWhite="1" horizontalDpi="120" verticalDpi="144" r:id="rId1"/>
  <headerFooter alignWithMargins="0">
    <oddHeader xml:space="preserve">&amp;RState of Kansas
County
</oddHeader>
  </headerFooter>
  <rowBreaks count="1" manualBreakCount="1">
    <brk id="57" max="16383" man="1"/>
  </rowBreaks>
  <colBreaks count="1" manualBreakCount="1">
    <brk id="5" max="1048575" man="1"/>
  </colBreaks>
</worksheet>
</file>

<file path=xl/worksheets/sheet14.xml><?xml version="1.0" encoding="utf-8"?>
<worksheet xmlns="http://schemas.openxmlformats.org/spreadsheetml/2006/main" xmlns:r="http://schemas.openxmlformats.org/officeDocument/2006/relationships">
  <sheetPr codeName="Sheet11"/>
  <dimension ref="A1:D403"/>
  <sheetViews>
    <sheetView topLeftCell="A279" zoomScaleNormal="100" workbookViewId="0">
      <selection activeCell="D154" sqref="D154"/>
    </sheetView>
  </sheetViews>
  <sheetFormatPr defaultRowHeight="15.75"/>
  <cols>
    <col min="1" max="1" width="30.77734375" style="71" customWidth="1"/>
    <col min="2" max="3" width="15.77734375" style="71" customWidth="1"/>
    <col min="4" max="4" width="16.109375" style="71" customWidth="1"/>
    <col min="5" max="16384" width="8.88671875" style="71"/>
  </cols>
  <sheetData>
    <row r="1" spans="1:4">
      <c r="A1" s="226" t="str">
        <f>inputPrYr!C2</f>
        <v>Lyon County</v>
      </c>
      <c r="B1" s="84"/>
      <c r="C1" s="299"/>
      <c r="D1" s="84">
        <f>inputPrYr!C4</f>
        <v>2014</v>
      </c>
    </row>
    <row r="2" spans="1:4">
      <c r="A2" s="84"/>
      <c r="B2" s="84"/>
      <c r="C2" s="84"/>
      <c r="D2" s="299"/>
    </row>
    <row r="3" spans="1:4">
      <c r="A3" s="151" t="s">
        <v>233</v>
      </c>
      <c r="B3" s="312"/>
      <c r="C3" s="312"/>
      <c r="D3" s="312"/>
    </row>
    <row r="4" spans="1:4">
      <c r="A4" s="299" t="s">
        <v>159</v>
      </c>
      <c r="B4" s="701" t="s">
        <v>842</v>
      </c>
      <c r="C4" s="702" t="s">
        <v>843</v>
      </c>
      <c r="D4" s="214" t="s">
        <v>844</v>
      </c>
    </row>
    <row r="5" spans="1:4">
      <c r="A5" s="479" t="s">
        <v>684</v>
      </c>
      <c r="B5" s="453" t="str">
        <f>CONCATENATE("Actual for ",D1-2,"")</f>
        <v>Actual for 2012</v>
      </c>
      <c r="C5" s="453" t="str">
        <f>CONCATENATE("Estimate for ",D1-1,"")</f>
        <v>Estimate for 2013</v>
      </c>
      <c r="D5" s="300" t="str">
        <f>CONCATENATE("Year for ",D1,"")</f>
        <v>Year for 2014</v>
      </c>
    </row>
    <row r="6" spans="1:4">
      <c r="A6" s="260" t="s">
        <v>172</v>
      </c>
      <c r="B6" s="126"/>
      <c r="C6" s="126"/>
      <c r="D6" s="126"/>
    </row>
    <row r="7" spans="1:4">
      <c r="A7" s="322" t="s">
        <v>1022</v>
      </c>
      <c r="B7" s="126"/>
      <c r="C7" s="126"/>
      <c r="D7" s="126"/>
    </row>
    <row r="8" spans="1:4">
      <c r="A8" s="109" t="s">
        <v>177</v>
      </c>
      <c r="B8" s="304">
        <v>163429</v>
      </c>
      <c r="C8" s="304">
        <f>125000+40000</f>
        <v>165000</v>
      </c>
      <c r="D8" s="304">
        <v>175005</v>
      </c>
    </row>
    <row r="9" spans="1:4">
      <c r="A9" s="109" t="s">
        <v>178</v>
      </c>
      <c r="B9" s="304">
        <v>62192</v>
      </c>
      <c r="C9" s="304">
        <v>55000</v>
      </c>
      <c r="D9" s="304">
        <v>56750</v>
      </c>
    </row>
    <row r="10" spans="1:4">
      <c r="A10" s="109" t="s">
        <v>179</v>
      </c>
      <c r="B10" s="304">
        <v>794</v>
      </c>
      <c r="C10" s="304">
        <v>1600</v>
      </c>
      <c r="D10" s="304">
        <v>1600</v>
      </c>
    </row>
    <row r="11" spans="1:4">
      <c r="A11" s="109" t="s">
        <v>180</v>
      </c>
      <c r="B11" s="304">
        <v>490</v>
      </c>
      <c r="C11" s="304"/>
      <c r="D11" s="304"/>
    </row>
    <row r="12" spans="1:4">
      <c r="A12" s="291"/>
      <c r="B12" s="304"/>
      <c r="C12" s="304"/>
      <c r="D12" s="304"/>
    </row>
    <row r="13" spans="1:4">
      <c r="A13" s="299" t="s">
        <v>132</v>
      </c>
      <c r="B13" s="323">
        <f>SUM(B8:B12)</f>
        <v>226905</v>
      </c>
      <c r="C13" s="323">
        <f>SUM(C8:C12)</f>
        <v>221600</v>
      </c>
      <c r="D13" s="323">
        <f>SUM(D8:D12)</f>
        <v>233355</v>
      </c>
    </row>
    <row r="14" spans="1:4">
      <c r="A14" s="322" t="s">
        <v>1023</v>
      </c>
      <c r="B14" s="126"/>
      <c r="C14" s="126"/>
      <c r="D14" s="126"/>
    </row>
    <row r="15" spans="1:4">
      <c r="A15" s="109" t="s">
        <v>177</v>
      </c>
      <c r="B15" s="304">
        <v>212049</v>
      </c>
      <c r="C15" s="304">
        <f>170000+55700</f>
        <v>225700</v>
      </c>
      <c r="D15" s="304">
        <v>239541</v>
      </c>
    </row>
    <row r="16" spans="1:4">
      <c r="A16" s="109" t="s">
        <v>178</v>
      </c>
      <c r="B16" s="304">
        <v>4345</v>
      </c>
      <c r="C16" s="304">
        <v>8450</v>
      </c>
      <c r="D16" s="304">
        <v>9650</v>
      </c>
    </row>
    <row r="17" spans="1:4">
      <c r="A17" s="109" t="s">
        <v>179</v>
      </c>
      <c r="B17" s="304">
        <v>2681</v>
      </c>
      <c r="C17" s="304">
        <v>2000</v>
      </c>
      <c r="D17" s="304">
        <v>3000</v>
      </c>
    </row>
    <row r="18" spans="1:4">
      <c r="A18" s="109" t="s">
        <v>180</v>
      </c>
      <c r="B18" s="304">
        <v>653</v>
      </c>
      <c r="C18" s="304"/>
      <c r="D18" s="304">
        <v>2000</v>
      </c>
    </row>
    <row r="19" spans="1:4">
      <c r="A19" s="299" t="s">
        <v>132</v>
      </c>
      <c r="B19" s="323">
        <f>SUM(B15:B18)</f>
        <v>219728</v>
      </c>
      <c r="C19" s="323">
        <f>SUM(C15:C18)</f>
        <v>236150</v>
      </c>
      <c r="D19" s="323">
        <f>SUM(D15:D18)</f>
        <v>254191</v>
      </c>
    </row>
    <row r="20" spans="1:4">
      <c r="A20" s="322" t="s">
        <v>1024</v>
      </c>
      <c r="B20" s="126"/>
      <c r="C20" s="126"/>
      <c r="D20" s="126"/>
    </row>
    <row r="21" spans="1:4">
      <c r="A21" s="109" t="s">
        <v>177</v>
      </c>
      <c r="B21" s="304">
        <v>144791</v>
      </c>
      <c r="C21" s="304">
        <f>110000+39000</f>
        <v>149000</v>
      </c>
      <c r="D21" s="304">
        <v>194774</v>
      </c>
    </row>
    <row r="22" spans="1:4">
      <c r="A22" s="109" t="s">
        <v>178</v>
      </c>
      <c r="B22" s="304">
        <v>18012</v>
      </c>
      <c r="C22" s="304">
        <v>23770</v>
      </c>
      <c r="D22" s="304">
        <v>21450</v>
      </c>
    </row>
    <row r="23" spans="1:4">
      <c r="A23" s="109" t="s">
        <v>179</v>
      </c>
      <c r="B23" s="304">
        <v>7004</v>
      </c>
      <c r="C23" s="304">
        <v>8800</v>
      </c>
      <c r="D23" s="304">
        <v>12335</v>
      </c>
    </row>
    <row r="24" spans="1:4">
      <c r="A24" s="109" t="s">
        <v>180</v>
      </c>
      <c r="B24" s="304"/>
      <c r="C24" s="304"/>
      <c r="D24" s="304"/>
    </row>
    <row r="25" spans="1:4">
      <c r="A25" s="299" t="s">
        <v>132</v>
      </c>
      <c r="B25" s="323">
        <f>SUM(B21:B24)</f>
        <v>169807</v>
      </c>
      <c r="C25" s="323">
        <f>SUM(C21:C24)</f>
        <v>181570</v>
      </c>
      <c r="D25" s="323">
        <f>SUM(D21:D24)</f>
        <v>228559</v>
      </c>
    </row>
    <row r="26" spans="1:4">
      <c r="A26" s="322" t="s">
        <v>1025</v>
      </c>
      <c r="B26" s="126"/>
      <c r="C26" s="126"/>
      <c r="D26" s="126"/>
    </row>
    <row r="27" spans="1:4">
      <c r="A27" s="109" t="s">
        <v>177</v>
      </c>
      <c r="B27" s="304">
        <v>789691</v>
      </c>
      <c r="C27" s="304">
        <f>655475+194350</f>
        <v>849825</v>
      </c>
      <c r="D27" s="304">
        <v>966422</v>
      </c>
    </row>
    <row r="28" spans="1:4">
      <c r="A28" s="109" t="s">
        <v>178</v>
      </c>
      <c r="B28" s="304">
        <v>94554</v>
      </c>
      <c r="C28" s="304">
        <v>53500</v>
      </c>
      <c r="D28" s="304">
        <v>51500</v>
      </c>
    </row>
    <row r="29" spans="1:4">
      <c r="A29" s="109" t="s">
        <v>179</v>
      </c>
      <c r="B29" s="304">
        <v>8217</v>
      </c>
      <c r="C29" s="304">
        <v>10000</v>
      </c>
      <c r="D29" s="304">
        <v>17000</v>
      </c>
    </row>
    <row r="30" spans="1:4">
      <c r="A30" s="109" t="s">
        <v>180</v>
      </c>
      <c r="B30" s="304"/>
      <c r="C30" s="304"/>
      <c r="D30" s="304"/>
    </row>
    <row r="31" spans="1:4">
      <c r="A31" s="299" t="s">
        <v>132</v>
      </c>
      <c r="B31" s="323">
        <f>SUM(B27:B30)</f>
        <v>892462</v>
      </c>
      <c r="C31" s="323">
        <f>SUM(C27:C30)</f>
        <v>913325</v>
      </c>
      <c r="D31" s="323">
        <f>SUM(D27:D30)</f>
        <v>1034922</v>
      </c>
    </row>
    <row r="32" spans="1:4">
      <c r="A32" s="322" t="s">
        <v>1026</v>
      </c>
      <c r="B32" s="126"/>
      <c r="C32" s="126"/>
      <c r="D32" s="126"/>
    </row>
    <row r="33" spans="1:4">
      <c r="A33" s="109" t="s">
        <v>177</v>
      </c>
      <c r="B33" s="304">
        <v>176865</v>
      </c>
      <c r="C33" s="304">
        <f>137296+46740</f>
        <v>184036</v>
      </c>
      <c r="D33" s="304">
        <v>195355</v>
      </c>
    </row>
    <row r="34" spans="1:4">
      <c r="A34" s="109" t="s">
        <v>178</v>
      </c>
      <c r="B34" s="304">
        <v>8808.4</v>
      </c>
      <c r="C34" s="304">
        <v>12440</v>
      </c>
      <c r="D34" s="304">
        <v>12240</v>
      </c>
    </row>
    <row r="35" spans="1:4">
      <c r="A35" s="109" t="s">
        <v>179</v>
      </c>
      <c r="B35" s="304">
        <v>1538.2</v>
      </c>
      <c r="C35" s="304">
        <v>1000</v>
      </c>
      <c r="D35" s="304">
        <v>1000</v>
      </c>
    </row>
    <row r="36" spans="1:4">
      <c r="A36" s="306" t="s">
        <v>180</v>
      </c>
      <c r="B36" s="304"/>
      <c r="C36" s="304"/>
      <c r="D36" s="304"/>
    </row>
    <row r="37" spans="1:4">
      <c r="A37" s="299" t="s">
        <v>132</v>
      </c>
      <c r="B37" s="323">
        <f>SUM(B33:B36)</f>
        <v>187211.6</v>
      </c>
      <c r="C37" s="323">
        <f>SUM(C33:C36)</f>
        <v>197476</v>
      </c>
      <c r="D37" s="323">
        <f>SUM(D33:D36)</f>
        <v>208595</v>
      </c>
    </row>
    <row r="38" spans="1:4">
      <c r="A38" s="322" t="s">
        <v>1027</v>
      </c>
      <c r="B38" s="126"/>
      <c r="C38" s="126"/>
      <c r="D38" s="126"/>
    </row>
    <row r="39" spans="1:4">
      <c r="A39" s="109" t="s">
        <v>177</v>
      </c>
      <c r="B39" s="304">
        <v>0</v>
      </c>
      <c r="C39" s="304"/>
      <c r="D39" s="304"/>
    </row>
    <row r="40" spans="1:4">
      <c r="A40" s="109" t="s">
        <v>178</v>
      </c>
      <c r="B40" s="304">
        <v>16199</v>
      </c>
      <c r="C40" s="304">
        <v>16000</v>
      </c>
      <c r="D40" s="304">
        <v>16000</v>
      </c>
    </row>
    <row r="41" spans="1:4">
      <c r="A41" s="109" t="s">
        <v>179</v>
      </c>
      <c r="B41" s="304">
        <v>654</v>
      </c>
      <c r="C41" s="304"/>
      <c r="D41" s="304">
        <v>100</v>
      </c>
    </row>
    <row r="42" spans="1:4">
      <c r="A42" s="109" t="s">
        <v>180</v>
      </c>
      <c r="B42" s="304">
        <v>0</v>
      </c>
      <c r="C42" s="304"/>
      <c r="D42" s="304"/>
    </row>
    <row r="43" spans="1:4">
      <c r="A43" s="299" t="s">
        <v>132</v>
      </c>
      <c r="B43" s="323">
        <f>SUM(B39:B42)</f>
        <v>16853</v>
      </c>
      <c r="C43" s="323">
        <f>SUM(C39:C42)</f>
        <v>16000</v>
      </c>
      <c r="D43" s="323">
        <f>SUM(D39:D42)</f>
        <v>16100</v>
      </c>
    </row>
    <row r="44" spans="1:4">
      <c r="A44" s="322" t="s">
        <v>1028</v>
      </c>
      <c r="B44" s="126"/>
      <c r="C44" s="126"/>
      <c r="D44" s="126"/>
    </row>
    <row r="45" spans="1:4">
      <c r="A45" s="109" t="s">
        <v>177</v>
      </c>
      <c r="B45" s="304">
        <f>19150+0.2</f>
        <v>19150.2</v>
      </c>
      <c r="C45" s="304">
        <v>19000</v>
      </c>
      <c r="D45" s="304">
        <f>13262+10000</f>
        <v>23262</v>
      </c>
    </row>
    <row r="46" spans="1:4">
      <c r="A46" s="109" t="s">
        <v>178</v>
      </c>
      <c r="B46" s="304">
        <v>462468</v>
      </c>
      <c r="C46" s="304">
        <v>459250</v>
      </c>
      <c r="D46" s="304">
        <v>476450</v>
      </c>
    </row>
    <row r="47" spans="1:4">
      <c r="A47" s="109" t="s">
        <v>179</v>
      </c>
      <c r="B47" s="304">
        <v>36518.400000000001</v>
      </c>
      <c r="C47" s="304">
        <v>48250</v>
      </c>
      <c r="D47" s="304">
        <v>47500</v>
      </c>
    </row>
    <row r="48" spans="1:4">
      <c r="A48" s="109" t="s">
        <v>180</v>
      </c>
      <c r="B48" s="304">
        <v>0</v>
      </c>
      <c r="C48" s="304"/>
      <c r="D48" s="304"/>
    </row>
    <row r="49" spans="1:4">
      <c r="A49" s="299" t="s">
        <v>132</v>
      </c>
      <c r="B49" s="323">
        <f>SUM(B45:B48)</f>
        <v>518136.60000000003</v>
      </c>
      <c r="C49" s="323">
        <f>SUM(C45:C48)</f>
        <v>526500</v>
      </c>
      <c r="D49" s="323">
        <f>SUM(D45:D48)</f>
        <v>547212</v>
      </c>
    </row>
    <row r="50" spans="1:4">
      <c r="A50" s="322" t="s">
        <v>1029</v>
      </c>
      <c r="B50" s="126"/>
      <c r="C50" s="126"/>
      <c r="D50" s="126"/>
    </row>
    <row r="51" spans="1:4">
      <c r="A51" s="109" t="s">
        <v>177</v>
      </c>
      <c r="B51" s="304">
        <v>38381.199999999997</v>
      </c>
      <c r="C51" s="304">
        <v>39500</v>
      </c>
      <c r="D51" s="304">
        <v>41455</v>
      </c>
    </row>
    <row r="52" spans="1:4">
      <c r="A52" s="109" t="s">
        <v>178</v>
      </c>
      <c r="B52" s="304">
        <v>105957</v>
      </c>
      <c r="C52" s="304">
        <v>89000</v>
      </c>
      <c r="D52" s="304">
        <v>88500</v>
      </c>
    </row>
    <row r="53" spans="1:4">
      <c r="A53" s="109" t="s">
        <v>179</v>
      </c>
      <c r="B53" s="304">
        <v>22603.599999999999</v>
      </c>
      <c r="C53" s="304">
        <v>24000</v>
      </c>
      <c r="D53" s="304">
        <v>25000</v>
      </c>
    </row>
    <row r="54" spans="1:4">
      <c r="A54" s="109" t="s">
        <v>180</v>
      </c>
      <c r="B54" s="304"/>
      <c r="C54" s="304"/>
      <c r="D54" s="304"/>
    </row>
    <row r="55" spans="1:4">
      <c r="A55" s="299" t="s">
        <v>132</v>
      </c>
      <c r="B55" s="317">
        <f>SUM(B51:B54)</f>
        <v>166941.80000000002</v>
      </c>
      <c r="C55" s="317">
        <f>SUM(C51:C54)</f>
        <v>152500</v>
      </c>
      <c r="D55" s="317">
        <f>SUM(D51:D54)</f>
        <v>154955</v>
      </c>
    </row>
    <row r="56" spans="1:4">
      <c r="A56" s="84"/>
      <c r="B56" s="126"/>
      <c r="C56" s="126"/>
      <c r="D56" s="126"/>
    </row>
    <row r="57" spans="1:4">
      <c r="A57" s="299" t="s">
        <v>308</v>
      </c>
      <c r="B57" s="310">
        <f>B13+B19+B25+B31+B37+B43+B49+B55</f>
        <v>2398045</v>
      </c>
      <c r="C57" s="310">
        <f>C13+C19+C25+C31+C37+C43+C49+C55</f>
        <v>2445121</v>
      </c>
      <c r="D57" s="310">
        <f>D13+D19+D25+D31+D37+D43+D49+D55</f>
        <v>2677889</v>
      </c>
    </row>
    <row r="58" spans="1:4">
      <c r="A58" s="84"/>
      <c r="B58" s="226"/>
      <c r="C58" s="226"/>
      <c r="D58" s="226"/>
    </row>
    <row r="59" spans="1:4">
      <c r="A59" s="806" t="s">
        <v>290</v>
      </c>
      <c r="B59" s="806"/>
      <c r="C59" s="806"/>
      <c r="D59" s="806"/>
    </row>
    <row r="60" spans="1:4">
      <c r="A60" s="84"/>
      <c r="B60" s="226"/>
      <c r="C60" s="226"/>
      <c r="D60" s="226"/>
    </row>
    <row r="61" spans="1:4">
      <c r="A61" s="226" t="str">
        <f>inputPrYr!C2</f>
        <v>Lyon County</v>
      </c>
      <c r="B61" s="226"/>
      <c r="C61" s="83"/>
      <c r="D61" s="324">
        <f>D1</f>
        <v>2014</v>
      </c>
    </row>
    <row r="62" spans="1:4">
      <c r="A62" s="84"/>
      <c r="B62" s="226"/>
      <c r="C62" s="226"/>
      <c r="D62" s="83"/>
    </row>
    <row r="63" spans="1:4">
      <c r="A63" s="311" t="s">
        <v>232</v>
      </c>
      <c r="B63" s="325"/>
      <c r="C63" s="325"/>
      <c r="D63" s="325"/>
    </row>
    <row r="64" spans="1:4">
      <c r="A64" s="84" t="s">
        <v>159</v>
      </c>
      <c r="B64" s="321" t="str">
        <f t="shared" ref="B64:D65" si="0">B4</f>
        <v xml:space="preserve">Prior Year </v>
      </c>
      <c r="C64" s="214" t="str">
        <f t="shared" si="0"/>
        <v xml:space="preserve">Current Year </v>
      </c>
      <c r="D64" s="214" t="str">
        <f t="shared" si="0"/>
        <v xml:space="preserve">Proposed Budget </v>
      </c>
    </row>
    <row r="65" spans="1:4">
      <c r="A65" s="113" t="s">
        <v>176</v>
      </c>
      <c r="B65" s="313" t="str">
        <f t="shared" si="0"/>
        <v>Actual for 2012</v>
      </c>
      <c r="C65" s="313" t="str">
        <f t="shared" si="0"/>
        <v>Estimate for 2013</v>
      </c>
      <c r="D65" s="313" t="str">
        <f t="shared" si="0"/>
        <v>Year for 2014</v>
      </c>
    </row>
    <row r="66" spans="1:4">
      <c r="A66" s="299" t="s">
        <v>172</v>
      </c>
      <c r="B66" s="126"/>
      <c r="C66" s="126"/>
      <c r="D66" s="126"/>
    </row>
    <row r="67" spans="1:4">
      <c r="A67" s="322" t="s">
        <v>1030</v>
      </c>
      <c r="B67" s="126"/>
      <c r="C67" s="126"/>
      <c r="D67" s="126"/>
    </row>
    <row r="68" spans="1:4">
      <c r="A68" s="109" t="s">
        <v>177</v>
      </c>
      <c r="B68" s="304">
        <v>34290</v>
      </c>
      <c r="C68" s="304">
        <f>28500+6380</f>
        <v>34880</v>
      </c>
      <c r="D68" s="304">
        <v>36740</v>
      </c>
    </row>
    <row r="69" spans="1:4">
      <c r="A69" s="109" t="s">
        <v>178</v>
      </c>
      <c r="B69" s="304">
        <v>979</v>
      </c>
      <c r="C69" s="304">
        <v>1550</v>
      </c>
      <c r="D69" s="304">
        <v>1850</v>
      </c>
    </row>
    <row r="70" spans="1:4">
      <c r="A70" s="109" t="s">
        <v>179</v>
      </c>
      <c r="B70" s="304">
        <v>255</v>
      </c>
      <c r="C70" s="304">
        <v>300</v>
      </c>
      <c r="D70" s="304">
        <v>250</v>
      </c>
    </row>
    <row r="71" spans="1:4">
      <c r="A71" s="109" t="s">
        <v>180</v>
      </c>
      <c r="B71" s="304"/>
      <c r="C71" s="304"/>
      <c r="D71" s="304"/>
    </row>
    <row r="72" spans="1:4">
      <c r="A72" s="326" t="s">
        <v>132</v>
      </c>
      <c r="B72" s="323">
        <f>SUM(B68:B71)</f>
        <v>35524</v>
      </c>
      <c r="C72" s="323">
        <f>SUM(C68:C71)</f>
        <v>36730</v>
      </c>
      <c r="D72" s="323">
        <f>SUM(D68:D71)</f>
        <v>38840</v>
      </c>
    </row>
    <row r="73" spans="1:4">
      <c r="A73" s="322" t="s">
        <v>1031</v>
      </c>
      <c r="B73" s="126"/>
      <c r="C73" s="126"/>
      <c r="D73" s="126"/>
    </row>
    <row r="74" spans="1:4">
      <c r="A74" s="109" t="s">
        <v>177</v>
      </c>
      <c r="B74" s="304">
        <v>96478</v>
      </c>
      <c r="C74" s="304">
        <f>71760+26220</f>
        <v>97980</v>
      </c>
      <c r="D74" s="304">
        <v>107604</v>
      </c>
    </row>
    <row r="75" spans="1:4">
      <c r="A75" s="109" t="s">
        <v>178</v>
      </c>
      <c r="B75" s="304">
        <v>11964</v>
      </c>
      <c r="C75" s="304">
        <v>20000</v>
      </c>
      <c r="D75" s="304">
        <v>17100</v>
      </c>
    </row>
    <row r="76" spans="1:4">
      <c r="A76" s="109" t="s">
        <v>179</v>
      </c>
      <c r="B76" s="304">
        <v>4754</v>
      </c>
      <c r="C76" s="304">
        <v>10900</v>
      </c>
      <c r="D76" s="304">
        <v>8000</v>
      </c>
    </row>
    <row r="77" spans="1:4">
      <c r="A77" s="109" t="s">
        <v>180</v>
      </c>
      <c r="B77" s="304">
        <v>2702</v>
      </c>
      <c r="C77" s="304"/>
      <c r="D77" s="304"/>
    </row>
    <row r="78" spans="1:4">
      <c r="A78" s="299" t="s">
        <v>132</v>
      </c>
      <c r="B78" s="317">
        <f>SUM(B74:B77)</f>
        <v>115898</v>
      </c>
      <c r="C78" s="317">
        <f>SUM(C74:C77)</f>
        <v>128880</v>
      </c>
      <c r="D78" s="317">
        <f>SUM(D74:D77)</f>
        <v>132704</v>
      </c>
    </row>
    <row r="79" spans="1:4">
      <c r="A79" s="322" t="s">
        <v>1032</v>
      </c>
      <c r="B79" s="126"/>
      <c r="C79" s="126"/>
      <c r="D79" s="126"/>
    </row>
    <row r="80" spans="1:4">
      <c r="A80" s="109" t="s">
        <v>177</v>
      </c>
      <c r="B80" s="304">
        <v>124447</v>
      </c>
      <c r="C80" s="304">
        <f>102670+43973</f>
        <v>146643</v>
      </c>
      <c r="D80" s="304">
        <v>198574</v>
      </c>
    </row>
    <row r="81" spans="1:4">
      <c r="A81" s="109" t="s">
        <v>178</v>
      </c>
      <c r="B81" s="304">
        <v>94635</v>
      </c>
      <c r="C81" s="304">
        <v>113527</v>
      </c>
      <c r="D81" s="304">
        <v>115225</v>
      </c>
    </row>
    <row r="82" spans="1:4">
      <c r="A82" s="109" t="s">
        <v>179</v>
      </c>
      <c r="B82" s="304">
        <v>3271</v>
      </c>
      <c r="C82" s="304">
        <v>2679</v>
      </c>
      <c r="D82" s="304">
        <v>2679</v>
      </c>
    </row>
    <row r="83" spans="1:4">
      <c r="A83" s="109" t="s">
        <v>180</v>
      </c>
      <c r="B83" s="304">
        <v>13122</v>
      </c>
      <c r="C83" s="304"/>
      <c r="D83" s="304"/>
    </row>
    <row r="84" spans="1:4">
      <c r="A84" s="299" t="s">
        <v>132</v>
      </c>
      <c r="B84" s="317">
        <f>SUM(B80:B83)</f>
        <v>235475</v>
      </c>
      <c r="C84" s="317">
        <f>SUM(C80:C83)</f>
        <v>262849</v>
      </c>
      <c r="D84" s="317">
        <f>SUM(D80:D83)</f>
        <v>316478</v>
      </c>
    </row>
    <row r="85" spans="1:4">
      <c r="A85" s="322" t="s">
        <v>1033</v>
      </c>
      <c r="B85" s="126"/>
      <c r="C85" s="126"/>
      <c r="D85" s="126"/>
    </row>
    <row r="86" spans="1:4">
      <c r="A86" s="109" t="s">
        <v>177</v>
      </c>
      <c r="B86" s="304">
        <v>0</v>
      </c>
      <c r="C86" s="304"/>
      <c r="D86" s="304"/>
    </row>
    <row r="87" spans="1:4">
      <c r="A87" s="109" t="s">
        <v>178</v>
      </c>
      <c r="B87" s="304">
        <v>68572</v>
      </c>
      <c r="C87" s="304">
        <v>68000</v>
      </c>
      <c r="D87" s="304">
        <v>66950</v>
      </c>
    </row>
    <row r="88" spans="1:4">
      <c r="A88" s="109" t="s">
        <v>179</v>
      </c>
      <c r="B88" s="304">
        <v>0</v>
      </c>
      <c r="C88" s="304"/>
      <c r="D88" s="304"/>
    </row>
    <row r="89" spans="1:4">
      <c r="A89" s="291"/>
      <c r="B89" s="304"/>
      <c r="C89" s="304"/>
      <c r="D89" s="304"/>
    </row>
    <row r="90" spans="1:4">
      <c r="A90" s="299" t="s">
        <v>132</v>
      </c>
      <c r="B90" s="317">
        <f>SUM(B86:B89)</f>
        <v>68572</v>
      </c>
      <c r="C90" s="317">
        <f>SUM(C86:C89)</f>
        <v>68000</v>
      </c>
      <c r="D90" s="317">
        <f>SUM(D86:D89)</f>
        <v>66950</v>
      </c>
    </row>
    <row r="91" spans="1:4">
      <c r="A91" s="322" t="s">
        <v>1034</v>
      </c>
      <c r="B91" s="126"/>
      <c r="C91" s="126"/>
      <c r="D91" s="126"/>
    </row>
    <row r="92" spans="1:4">
      <c r="A92" s="109" t="s">
        <v>177</v>
      </c>
      <c r="B92" s="304">
        <v>48073</v>
      </c>
      <c r="C92" s="304">
        <v>47650</v>
      </c>
      <c r="D92" s="304">
        <v>49235</v>
      </c>
    </row>
    <row r="93" spans="1:4">
      <c r="A93" s="109" t="s">
        <v>178</v>
      </c>
      <c r="B93" s="304">
        <v>3337</v>
      </c>
      <c r="C93" s="304">
        <v>8850</v>
      </c>
      <c r="D93" s="304">
        <v>12750</v>
      </c>
    </row>
    <row r="94" spans="1:4">
      <c r="A94" s="109" t="s">
        <v>179</v>
      </c>
      <c r="B94" s="304">
        <v>1084</v>
      </c>
      <c r="C94" s="304">
        <v>600</v>
      </c>
      <c r="D94" s="304">
        <v>800</v>
      </c>
    </row>
    <row r="95" spans="1:4">
      <c r="A95" s="109" t="s">
        <v>180</v>
      </c>
      <c r="B95" s="304"/>
      <c r="C95" s="304"/>
      <c r="D95" s="304"/>
    </row>
    <row r="96" spans="1:4">
      <c r="A96" s="299" t="s">
        <v>132</v>
      </c>
      <c r="B96" s="317">
        <f>SUM(B92:B95)</f>
        <v>52494</v>
      </c>
      <c r="C96" s="317">
        <f>SUM(C92:C95)</f>
        <v>57100</v>
      </c>
      <c r="D96" s="317">
        <f>SUM(D92:D95)</f>
        <v>62785</v>
      </c>
    </row>
    <row r="97" spans="1:4">
      <c r="A97" s="322" t="s">
        <v>1035</v>
      </c>
      <c r="B97" s="126"/>
      <c r="C97" s="126"/>
      <c r="D97" s="126"/>
    </row>
    <row r="98" spans="1:4">
      <c r="A98" s="109" t="s">
        <v>177</v>
      </c>
      <c r="B98" s="304">
        <v>183090</v>
      </c>
      <c r="C98" s="304">
        <v>157909</v>
      </c>
      <c r="D98" s="304">
        <v>163459</v>
      </c>
    </row>
    <row r="99" spans="1:4">
      <c r="A99" s="109" t="s">
        <v>178</v>
      </c>
      <c r="B99" s="304">
        <v>1166</v>
      </c>
      <c r="C99" s="304">
        <v>3000</v>
      </c>
      <c r="D99" s="304">
        <v>4540</v>
      </c>
    </row>
    <row r="100" spans="1:4">
      <c r="A100" s="109" t="s">
        <v>179</v>
      </c>
      <c r="B100" s="304">
        <v>521</v>
      </c>
      <c r="C100" s="304">
        <v>2500</v>
      </c>
      <c r="D100" s="304">
        <v>2500</v>
      </c>
    </row>
    <row r="101" spans="1:4">
      <c r="A101" s="109" t="s">
        <v>180</v>
      </c>
      <c r="B101" s="304"/>
      <c r="C101" s="304"/>
      <c r="D101" s="304"/>
    </row>
    <row r="102" spans="1:4">
      <c r="A102" s="299" t="s">
        <v>132</v>
      </c>
      <c r="B102" s="317">
        <f>SUM(B98:B101)</f>
        <v>184777</v>
      </c>
      <c r="C102" s="317">
        <f>SUM(C98:C101)</f>
        <v>163409</v>
      </c>
      <c r="D102" s="317">
        <f>SUM(D98:D101)</f>
        <v>170499</v>
      </c>
    </row>
    <row r="103" spans="1:4">
      <c r="A103" s="322" t="s">
        <v>1036</v>
      </c>
      <c r="B103" s="126"/>
      <c r="C103" s="126"/>
      <c r="D103" s="126"/>
    </row>
    <row r="104" spans="1:4">
      <c r="A104" s="109" t="s">
        <v>177</v>
      </c>
      <c r="B104" s="304">
        <v>2142779</v>
      </c>
      <c r="C104" s="304">
        <f>1655200+524000</f>
        <v>2179200</v>
      </c>
      <c r="D104" s="304">
        <v>2304275</v>
      </c>
    </row>
    <row r="105" spans="1:4">
      <c r="A105" s="109" t="s">
        <v>178</v>
      </c>
      <c r="B105" s="304">
        <v>147017</v>
      </c>
      <c r="C105" s="304">
        <v>137000</v>
      </c>
      <c r="D105" s="304">
        <v>148200</v>
      </c>
    </row>
    <row r="106" spans="1:4">
      <c r="A106" s="109" t="s">
        <v>179</v>
      </c>
      <c r="B106" s="304">
        <v>194725</v>
      </c>
      <c r="C106" s="304">
        <v>180000</v>
      </c>
      <c r="D106" s="304">
        <v>188000</v>
      </c>
    </row>
    <row r="107" spans="1:4">
      <c r="A107" s="109" t="s">
        <v>964</v>
      </c>
      <c r="B107" s="304">
        <v>361</v>
      </c>
      <c r="C107" s="304"/>
      <c r="D107" s="304"/>
    </row>
    <row r="108" spans="1:4">
      <c r="A108" s="299" t="s">
        <v>132</v>
      </c>
      <c r="B108" s="317">
        <f>SUM(B104:B107)</f>
        <v>2484882</v>
      </c>
      <c r="C108" s="317">
        <f>SUM(C104:C107)</f>
        <v>2496200</v>
      </c>
      <c r="D108" s="317">
        <f>SUM(D104:D107)</f>
        <v>2640475</v>
      </c>
    </row>
    <row r="109" spans="1:4">
      <c r="A109" s="322" t="s">
        <v>1037</v>
      </c>
      <c r="B109" s="126"/>
      <c r="C109" s="126"/>
      <c r="D109" s="126"/>
    </row>
    <row r="110" spans="1:4">
      <c r="A110" s="109" t="s">
        <v>177</v>
      </c>
      <c r="B110" s="304">
        <v>0</v>
      </c>
      <c r="C110" s="304"/>
      <c r="D110" s="304">
        <v>0</v>
      </c>
    </row>
    <row r="111" spans="1:4">
      <c r="A111" s="109" t="s">
        <v>178</v>
      </c>
      <c r="B111" s="304">
        <v>29535.4</v>
      </c>
      <c r="C111" s="304">
        <v>21000</v>
      </c>
      <c r="D111" s="304">
        <v>36500</v>
      </c>
    </row>
    <row r="112" spans="1:4">
      <c r="A112" s="109" t="s">
        <v>179</v>
      </c>
      <c r="B112" s="304">
        <v>2033.6</v>
      </c>
      <c r="C112" s="304">
        <v>3000</v>
      </c>
      <c r="D112" s="304">
        <v>50000</v>
      </c>
    </row>
    <row r="113" spans="1:4">
      <c r="A113" s="109" t="s">
        <v>964</v>
      </c>
      <c r="B113" s="304">
        <v>43000</v>
      </c>
      <c r="C113" s="304">
        <v>45000</v>
      </c>
      <c r="D113" s="304">
        <v>45000</v>
      </c>
    </row>
    <row r="114" spans="1:4">
      <c r="A114" s="299" t="s">
        <v>132</v>
      </c>
      <c r="B114" s="317">
        <f>SUM(B110:B113)</f>
        <v>74569</v>
      </c>
      <c r="C114" s="317">
        <f>SUM(C110:C113)</f>
        <v>69000</v>
      </c>
      <c r="D114" s="317">
        <f>SUM(D110:D113)</f>
        <v>131500</v>
      </c>
    </row>
    <row r="115" spans="1:4">
      <c r="A115" s="84"/>
      <c r="B115" s="126"/>
      <c r="C115" s="126"/>
      <c r="D115" s="126"/>
    </row>
    <row r="116" spans="1:4">
      <c r="A116" s="299" t="s">
        <v>309</v>
      </c>
      <c r="B116" s="310">
        <f>B72+B78+B84+B90+B96+B102+B108+B114</f>
        <v>3252191</v>
      </c>
      <c r="C116" s="310">
        <f>C72+C78+C84+C90+C96+C102+C108+C114</f>
        <v>3282168</v>
      </c>
      <c r="D116" s="310">
        <f>D72+D78+D84+D90+D96+D102+D108+D114</f>
        <v>3560231</v>
      </c>
    </row>
    <row r="117" spans="1:4">
      <c r="A117" s="84"/>
      <c r="B117" s="226"/>
      <c r="C117" s="226"/>
      <c r="D117" s="226"/>
    </row>
    <row r="118" spans="1:4">
      <c r="A118" s="806" t="s">
        <v>291</v>
      </c>
      <c r="B118" s="806"/>
      <c r="C118" s="806"/>
      <c r="D118" s="806"/>
    </row>
    <row r="119" spans="1:4">
      <c r="A119" s="226" t="str">
        <f>inputPrYr!C2</f>
        <v>Lyon County</v>
      </c>
      <c r="B119" s="226"/>
      <c r="C119" s="83"/>
      <c r="D119" s="324">
        <f>D1</f>
        <v>2014</v>
      </c>
    </row>
    <row r="120" spans="1:4">
      <c r="A120" s="84"/>
      <c r="B120" s="226"/>
      <c r="C120" s="226"/>
      <c r="D120" s="83"/>
    </row>
    <row r="121" spans="1:4">
      <c r="A121" s="311" t="s">
        <v>232</v>
      </c>
      <c r="B121" s="325"/>
      <c r="C121" s="325"/>
      <c r="D121" s="325"/>
    </row>
    <row r="122" spans="1:4">
      <c r="A122" s="84" t="s">
        <v>159</v>
      </c>
      <c r="B122" s="321" t="str">
        <f t="shared" ref="B122:D123" si="1">B4</f>
        <v xml:space="preserve">Prior Year </v>
      </c>
      <c r="C122" s="214" t="str">
        <f t="shared" si="1"/>
        <v xml:space="preserve">Current Year </v>
      </c>
      <c r="D122" s="214" t="str">
        <f t="shared" si="1"/>
        <v xml:space="preserve">Proposed Budget </v>
      </c>
    </row>
    <row r="123" spans="1:4">
      <c r="A123" s="113" t="s">
        <v>176</v>
      </c>
      <c r="B123" s="313" t="str">
        <f t="shared" si="1"/>
        <v>Actual for 2012</v>
      </c>
      <c r="C123" s="313" t="str">
        <f t="shared" si="1"/>
        <v>Estimate for 2013</v>
      </c>
      <c r="D123" s="313" t="str">
        <f t="shared" si="1"/>
        <v>Year for 2014</v>
      </c>
    </row>
    <row r="124" spans="1:4">
      <c r="A124" s="299" t="s">
        <v>172</v>
      </c>
      <c r="B124" s="126"/>
      <c r="C124" s="126"/>
      <c r="D124" s="126"/>
    </row>
    <row r="125" spans="1:4">
      <c r="A125" s="322" t="s">
        <v>1038</v>
      </c>
      <c r="B125" s="126"/>
      <c r="C125" s="126"/>
      <c r="D125" s="126"/>
    </row>
    <row r="126" spans="1:4">
      <c r="A126" s="109" t="s">
        <v>177</v>
      </c>
      <c r="B126" s="304">
        <v>1916121</v>
      </c>
      <c r="C126" s="304">
        <f>1457350+520000</f>
        <v>1977350</v>
      </c>
      <c r="D126" s="304">
        <v>2107627</v>
      </c>
    </row>
    <row r="127" spans="1:4">
      <c r="A127" s="109" t="s">
        <v>178</v>
      </c>
      <c r="B127" s="304">
        <f>113668+596</f>
        <v>114264</v>
      </c>
      <c r="C127" s="304">
        <v>100800</v>
      </c>
      <c r="D127" s="304">
        <v>134950</v>
      </c>
    </row>
    <row r="128" spans="1:4">
      <c r="A128" s="109" t="s">
        <v>179</v>
      </c>
      <c r="B128" s="304">
        <v>304623</v>
      </c>
      <c r="C128" s="304">
        <v>338367</v>
      </c>
      <c r="D128" s="304">
        <v>348000</v>
      </c>
    </row>
    <row r="129" spans="1:4" hidden="1">
      <c r="A129" s="109" t="s">
        <v>182</v>
      </c>
      <c r="B129" s="304"/>
      <c r="C129" s="304"/>
      <c r="D129" s="304"/>
    </row>
    <row r="130" spans="1:4" hidden="1">
      <c r="A130" s="109" t="s">
        <v>183</v>
      </c>
      <c r="B130" s="304"/>
      <c r="C130" s="304"/>
      <c r="D130" s="304"/>
    </row>
    <row r="131" spans="1:4" hidden="1">
      <c r="A131" s="109" t="s">
        <v>184</v>
      </c>
      <c r="B131" s="304"/>
      <c r="C131" s="304"/>
      <c r="D131" s="304"/>
    </row>
    <row r="132" spans="1:4">
      <c r="A132" s="299" t="s">
        <v>132</v>
      </c>
      <c r="B132" s="317">
        <f>SUM(B126:B131)</f>
        <v>2335008</v>
      </c>
      <c r="C132" s="317">
        <f>SUM(C126:C131)</f>
        <v>2416517</v>
      </c>
      <c r="D132" s="317">
        <f>SUM(D126:D131)</f>
        <v>2590577</v>
      </c>
    </row>
    <row r="133" spans="1:4">
      <c r="A133" s="322" t="s">
        <v>1039</v>
      </c>
      <c r="B133" s="126"/>
      <c r="C133" s="126"/>
      <c r="D133" s="126"/>
    </row>
    <row r="134" spans="1:4">
      <c r="A134" s="109" t="s">
        <v>177</v>
      </c>
      <c r="B134" s="304">
        <v>101898</v>
      </c>
      <c r="C134" s="304">
        <v>135100</v>
      </c>
      <c r="D134" s="304">
        <v>143005</v>
      </c>
    </row>
    <row r="135" spans="1:4">
      <c r="A135" s="109" t="s">
        <v>178</v>
      </c>
      <c r="B135" s="304">
        <v>54699</v>
      </c>
      <c r="C135" s="304">
        <v>60000</v>
      </c>
      <c r="D135" s="304">
        <v>85000</v>
      </c>
    </row>
    <row r="136" spans="1:4">
      <c r="A136" s="109" t="s">
        <v>179</v>
      </c>
      <c r="B136" s="304">
        <v>15465</v>
      </c>
      <c r="C136" s="304">
        <v>20000</v>
      </c>
      <c r="D136" s="304">
        <v>18000</v>
      </c>
    </row>
    <row r="137" spans="1:4">
      <c r="A137" s="109" t="s">
        <v>180</v>
      </c>
      <c r="B137" s="304">
        <v>6203</v>
      </c>
      <c r="C137" s="304">
        <v>734</v>
      </c>
      <c r="D137" s="304"/>
    </row>
    <row r="138" spans="1:4">
      <c r="A138" s="299" t="s">
        <v>132</v>
      </c>
      <c r="B138" s="317">
        <f>SUM(B134:B137)</f>
        <v>178265</v>
      </c>
      <c r="C138" s="317">
        <f>SUM(C134:C137)</f>
        <v>215834</v>
      </c>
      <c r="D138" s="317">
        <f>SUM(D134:D137)</f>
        <v>246005</v>
      </c>
    </row>
    <row r="139" spans="1:4">
      <c r="A139" s="322" t="s">
        <v>1040</v>
      </c>
      <c r="B139" s="126"/>
      <c r="C139" s="126"/>
      <c r="D139" s="126"/>
    </row>
    <row r="140" spans="1:4">
      <c r="A140" s="109" t="s">
        <v>177</v>
      </c>
      <c r="B140" s="304"/>
      <c r="C140" s="304"/>
      <c r="D140" s="304"/>
    </row>
    <row r="141" spans="1:4">
      <c r="A141" s="109" t="s">
        <v>965</v>
      </c>
      <c r="B141" s="304">
        <v>223900</v>
      </c>
      <c r="C141" s="304">
        <v>263900</v>
      </c>
      <c r="D141" s="304">
        <v>263900</v>
      </c>
    </row>
    <row r="142" spans="1:4">
      <c r="A142" s="109" t="s">
        <v>179</v>
      </c>
      <c r="B142" s="304"/>
      <c r="C142" s="304"/>
      <c r="D142" s="304"/>
    </row>
    <row r="143" spans="1:4">
      <c r="A143" s="109" t="s">
        <v>180</v>
      </c>
      <c r="B143" s="304"/>
      <c r="C143" s="304"/>
      <c r="D143" s="304"/>
    </row>
    <row r="144" spans="1:4">
      <c r="A144" s="299" t="s">
        <v>132</v>
      </c>
      <c r="B144" s="317">
        <f>SUM(B140:B143)</f>
        <v>223900</v>
      </c>
      <c r="C144" s="317">
        <f>SUM(C140:C143)</f>
        <v>263900</v>
      </c>
      <c r="D144" s="317">
        <f>SUM(D140:D143)</f>
        <v>263900</v>
      </c>
    </row>
    <row r="145" spans="1:4">
      <c r="A145" s="322" t="s">
        <v>1041</v>
      </c>
      <c r="B145" s="126"/>
      <c r="C145" s="126"/>
      <c r="D145" s="126"/>
    </row>
    <row r="146" spans="1:4">
      <c r="A146" s="109" t="s">
        <v>177</v>
      </c>
      <c r="B146" s="304">
        <v>438059</v>
      </c>
      <c r="C146" s="304">
        <f>391200+131100</f>
        <v>522300</v>
      </c>
      <c r="D146" s="304">
        <v>562878</v>
      </c>
    </row>
    <row r="147" spans="1:4">
      <c r="A147" s="109" t="s">
        <v>178</v>
      </c>
      <c r="B147" s="304">
        <v>137943</v>
      </c>
      <c r="C147" s="304">
        <v>81218</v>
      </c>
      <c r="D147" s="304">
        <v>86800</v>
      </c>
    </row>
    <row r="148" spans="1:4">
      <c r="A148" s="109" t="s">
        <v>179</v>
      </c>
      <c r="B148" s="304">
        <v>7040</v>
      </c>
      <c r="C148" s="304">
        <v>5000</v>
      </c>
      <c r="D148" s="304">
        <v>6000</v>
      </c>
    </row>
    <row r="149" spans="1:4">
      <c r="A149" s="109" t="s">
        <v>180</v>
      </c>
      <c r="B149" s="304">
        <v>480</v>
      </c>
      <c r="C149" s="304"/>
      <c r="D149" s="304"/>
    </row>
    <row r="150" spans="1:4">
      <c r="A150" s="299" t="s">
        <v>132</v>
      </c>
      <c r="B150" s="317">
        <f>SUM(B146:B149)</f>
        <v>583522</v>
      </c>
      <c r="C150" s="317">
        <f>SUM(C146:C149)</f>
        <v>608518</v>
      </c>
      <c r="D150" s="317">
        <f>SUM(D146:D149)</f>
        <v>655678</v>
      </c>
    </row>
    <row r="151" spans="1:4">
      <c r="A151" s="322" t="s">
        <v>1042</v>
      </c>
      <c r="B151" s="126"/>
      <c r="C151" s="126"/>
      <c r="D151" s="126"/>
    </row>
    <row r="152" spans="1:4">
      <c r="A152" s="109" t="s">
        <v>177</v>
      </c>
      <c r="B152" s="304"/>
      <c r="C152" s="304"/>
      <c r="D152" s="304"/>
    </row>
    <row r="153" spans="1:4">
      <c r="A153" s="109" t="s">
        <v>178</v>
      </c>
      <c r="B153" s="304">
        <v>350000</v>
      </c>
      <c r="C153" s="304">
        <v>350000</v>
      </c>
      <c r="D153" s="304">
        <v>375000</v>
      </c>
    </row>
    <row r="154" spans="1:4">
      <c r="A154" s="109" t="s">
        <v>179</v>
      </c>
      <c r="B154" s="304"/>
      <c r="C154" s="304"/>
      <c r="D154" s="304"/>
    </row>
    <row r="155" spans="1:4">
      <c r="A155" s="109" t="s">
        <v>180</v>
      </c>
      <c r="B155" s="304">
        <v>0</v>
      </c>
      <c r="C155" s="304">
        <v>37500</v>
      </c>
      <c r="D155" s="304">
        <v>0</v>
      </c>
    </row>
    <row r="156" spans="1:4">
      <c r="A156" s="299" t="s">
        <v>132</v>
      </c>
      <c r="B156" s="317">
        <f>SUM(B152:B155)</f>
        <v>350000</v>
      </c>
      <c r="C156" s="317">
        <f>SUM(C152:C155)</f>
        <v>387500</v>
      </c>
      <c r="D156" s="317">
        <f>SUM(D152:D155)</f>
        <v>375000</v>
      </c>
    </row>
    <row r="157" spans="1:4">
      <c r="A157" s="322" t="s">
        <v>1043</v>
      </c>
      <c r="B157" s="126"/>
      <c r="C157" s="126"/>
      <c r="D157" s="126"/>
    </row>
    <row r="158" spans="1:4">
      <c r="A158" s="109" t="s">
        <v>177</v>
      </c>
      <c r="B158" s="304"/>
      <c r="C158" s="304"/>
      <c r="D158" s="304"/>
    </row>
    <row r="159" spans="1:4">
      <c r="A159" s="109" t="s">
        <v>965</v>
      </c>
      <c r="B159" s="304">
        <v>100000</v>
      </c>
      <c r="C159" s="304">
        <v>100000</v>
      </c>
      <c r="D159" s="304">
        <v>100000</v>
      </c>
    </row>
    <row r="160" spans="1:4">
      <c r="A160" s="109" t="s">
        <v>179</v>
      </c>
      <c r="B160" s="304"/>
      <c r="C160" s="304"/>
      <c r="D160" s="304"/>
    </row>
    <row r="161" spans="1:4">
      <c r="A161" s="109" t="s">
        <v>180</v>
      </c>
      <c r="B161" s="449"/>
      <c r="C161" s="449"/>
      <c r="D161" s="449"/>
    </row>
    <row r="162" spans="1:4">
      <c r="A162" s="299" t="s">
        <v>132</v>
      </c>
      <c r="B162" s="317">
        <f>SUM(B158:B161)</f>
        <v>100000</v>
      </c>
      <c r="C162" s="317">
        <f>SUM(C158:C161)</f>
        <v>100000</v>
      </c>
      <c r="D162" s="317">
        <f>SUM(D158:D161)</f>
        <v>100000</v>
      </c>
    </row>
    <row r="163" spans="1:4">
      <c r="A163" s="322" t="s">
        <v>1044</v>
      </c>
      <c r="B163" s="126"/>
      <c r="C163" s="126"/>
      <c r="D163" s="126"/>
    </row>
    <row r="164" spans="1:4">
      <c r="A164" s="109" t="s">
        <v>177</v>
      </c>
      <c r="B164" s="304"/>
      <c r="C164" s="304"/>
      <c r="D164" s="304"/>
    </row>
    <row r="165" spans="1:4">
      <c r="A165" s="109" t="s">
        <v>965</v>
      </c>
      <c r="B165" s="304">
        <v>27000</v>
      </c>
      <c r="C165" s="304">
        <v>27000</v>
      </c>
      <c r="D165" s="304">
        <v>27000</v>
      </c>
    </row>
    <row r="166" spans="1:4">
      <c r="A166" s="109" t="s">
        <v>179</v>
      </c>
      <c r="B166" s="304"/>
      <c r="C166" s="304"/>
      <c r="D166" s="304"/>
    </row>
    <row r="167" spans="1:4">
      <c r="A167" s="109" t="s">
        <v>180</v>
      </c>
      <c r="B167" s="304"/>
      <c r="C167" s="304"/>
      <c r="D167" s="304"/>
    </row>
    <row r="168" spans="1:4">
      <c r="A168" s="299" t="s">
        <v>132</v>
      </c>
      <c r="B168" s="317">
        <f>SUM(B164:B167)</f>
        <v>27000</v>
      </c>
      <c r="C168" s="317">
        <f>SUM(C164:C167)</f>
        <v>27000</v>
      </c>
      <c r="D168" s="317">
        <f>SUM(D164:D167)</f>
        <v>27000</v>
      </c>
    </row>
    <row r="169" spans="1:4">
      <c r="A169" s="322" t="s">
        <v>1045</v>
      </c>
      <c r="B169" s="126"/>
      <c r="C169" s="126"/>
      <c r="D169" s="126"/>
    </row>
    <row r="170" spans="1:4">
      <c r="A170" s="109" t="s">
        <v>177</v>
      </c>
      <c r="B170" s="304">
        <v>50051</v>
      </c>
      <c r="C170" s="304">
        <v>55680</v>
      </c>
      <c r="D170" s="304">
        <v>61336</v>
      </c>
    </row>
    <row r="171" spans="1:4">
      <c r="A171" s="109" t="s">
        <v>178</v>
      </c>
      <c r="B171" s="304">
        <v>23026</v>
      </c>
      <c r="C171" s="304">
        <v>30000</v>
      </c>
      <c r="D171" s="304">
        <v>31250</v>
      </c>
    </row>
    <row r="172" spans="1:4">
      <c r="A172" s="109" t="s">
        <v>179</v>
      </c>
      <c r="B172" s="304">
        <v>3241</v>
      </c>
      <c r="C172" s="304">
        <v>4500</v>
      </c>
      <c r="D172" s="304">
        <v>3000</v>
      </c>
    </row>
    <row r="173" spans="1:4">
      <c r="A173" s="109" t="s">
        <v>180</v>
      </c>
      <c r="B173" s="304">
        <v>470</v>
      </c>
      <c r="C173" s="304"/>
      <c r="D173" s="304"/>
    </row>
    <row r="174" spans="1:4">
      <c r="A174" s="299" t="s">
        <v>132</v>
      </c>
      <c r="B174" s="317">
        <f>SUM(B170:B173)</f>
        <v>76788</v>
      </c>
      <c r="C174" s="317">
        <f>SUM(C170:C173)</f>
        <v>90180</v>
      </c>
      <c r="D174" s="317">
        <f>SUM(D170:D173)</f>
        <v>95586</v>
      </c>
    </row>
    <row r="175" spans="1:4">
      <c r="A175" s="299"/>
      <c r="B175" s="126"/>
      <c r="C175" s="126"/>
      <c r="D175" s="126"/>
    </row>
    <row r="176" spans="1:4">
      <c r="A176" s="299" t="s">
        <v>310</v>
      </c>
      <c r="B176" s="310">
        <f>B132+B138+B144+B150+B156+B162+B168+B174</f>
        <v>3874483</v>
      </c>
      <c r="C176" s="310">
        <f>C132+C138+C144+C150+C156+C162+C168+C174</f>
        <v>4109449</v>
      </c>
      <c r="D176" s="310">
        <f>D132+D138+D144+D150+D156+D162+D168+D174</f>
        <v>4353746</v>
      </c>
    </row>
    <row r="177" spans="1:4">
      <c r="A177" s="84"/>
      <c r="B177" s="226"/>
      <c r="C177" s="226"/>
      <c r="D177" s="226"/>
    </row>
    <row r="178" spans="1:4">
      <c r="A178" s="806" t="s">
        <v>292</v>
      </c>
      <c r="B178" s="806"/>
      <c r="C178" s="806"/>
      <c r="D178" s="806"/>
    </row>
    <row r="179" spans="1:4">
      <c r="A179" s="226" t="str">
        <f>inputPrYr!C2</f>
        <v>Lyon County</v>
      </c>
      <c r="B179" s="226"/>
      <c r="C179" s="83"/>
      <c r="D179" s="324">
        <f>D1</f>
        <v>2014</v>
      </c>
    </row>
    <row r="180" spans="1:4">
      <c r="A180" s="84"/>
      <c r="B180" s="226"/>
      <c r="C180" s="226"/>
      <c r="D180" s="83"/>
    </row>
    <row r="181" spans="1:4">
      <c r="A181" s="311" t="s">
        <v>232</v>
      </c>
      <c r="B181" s="325"/>
      <c r="C181" s="325"/>
      <c r="D181" s="325"/>
    </row>
    <row r="182" spans="1:4">
      <c r="A182" s="84" t="s">
        <v>159</v>
      </c>
      <c r="B182" s="321" t="str">
        <f t="shared" ref="B182:D183" si="2">B4</f>
        <v xml:space="preserve">Prior Year </v>
      </c>
      <c r="C182" s="214" t="str">
        <f t="shared" si="2"/>
        <v xml:space="preserve">Current Year </v>
      </c>
      <c r="D182" s="214" t="str">
        <f t="shared" si="2"/>
        <v xml:space="preserve">Proposed Budget </v>
      </c>
    </row>
    <row r="183" spans="1:4">
      <c r="A183" s="113" t="s">
        <v>176</v>
      </c>
      <c r="B183" s="313" t="str">
        <f t="shared" si="2"/>
        <v>Actual for 2012</v>
      </c>
      <c r="C183" s="313" t="str">
        <f t="shared" si="2"/>
        <v>Estimate for 2013</v>
      </c>
      <c r="D183" s="313" t="str">
        <f t="shared" si="2"/>
        <v>Year for 2014</v>
      </c>
    </row>
    <row r="184" spans="1:4">
      <c r="A184" s="299" t="s">
        <v>172</v>
      </c>
      <c r="B184" s="126"/>
      <c r="C184" s="126"/>
      <c r="D184" s="126"/>
    </row>
    <row r="185" spans="1:4">
      <c r="A185" s="322" t="s">
        <v>1046</v>
      </c>
      <c r="B185" s="126"/>
      <c r="C185" s="126"/>
      <c r="D185" s="126"/>
    </row>
    <row r="186" spans="1:4">
      <c r="A186" s="109" t="s">
        <v>177</v>
      </c>
      <c r="B186" s="304"/>
      <c r="C186" s="304">
        <v>0</v>
      </c>
      <c r="D186" s="304">
        <v>20000</v>
      </c>
    </row>
    <row r="187" spans="1:4">
      <c r="A187" s="109" t="s">
        <v>178</v>
      </c>
      <c r="B187" s="304">
        <v>3840</v>
      </c>
      <c r="C187" s="304">
        <v>10000</v>
      </c>
      <c r="D187" s="304">
        <v>10000</v>
      </c>
    </row>
    <row r="188" spans="1:4">
      <c r="A188" s="109" t="s">
        <v>179</v>
      </c>
      <c r="B188" s="304"/>
      <c r="C188" s="304"/>
      <c r="D188" s="304"/>
    </row>
    <row r="189" spans="1:4">
      <c r="A189" s="109" t="s">
        <v>965</v>
      </c>
      <c r="B189" s="304">
        <v>32040</v>
      </c>
      <c r="C189" s="304">
        <v>33040</v>
      </c>
      <c r="D189" s="304">
        <v>37040</v>
      </c>
    </row>
    <row r="190" spans="1:4">
      <c r="A190" s="299" t="s">
        <v>132</v>
      </c>
      <c r="B190" s="317">
        <f>SUM(B186:B189)</f>
        <v>35880</v>
      </c>
      <c r="C190" s="317">
        <f>SUM(C186:C189)</f>
        <v>43040</v>
      </c>
      <c r="D190" s="317">
        <f>SUM(D186:D189)</f>
        <v>67040</v>
      </c>
    </row>
    <row r="191" spans="1:4">
      <c r="A191" s="322" t="s">
        <v>1047</v>
      </c>
      <c r="B191" s="126"/>
      <c r="C191" s="126"/>
      <c r="D191" s="126"/>
    </row>
    <row r="192" spans="1:4">
      <c r="A192" s="109" t="s">
        <v>177</v>
      </c>
      <c r="B192" s="304">
        <v>89144</v>
      </c>
      <c r="C192" s="304">
        <v>132306</v>
      </c>
      <c r="D192" s="304">
        <v>135673</v>
      </c>
    </row>
    <row r="193" spans="1:4">
      <c r="A193" s="109" t="s">
        <v>178</v>
      </c>
      <c r="B193" s="304">
        <v>1668</v>
      </c>
      <c r="C193" s="304">
        <v>1050</v>
      </c>
      <c r="D193" s="304">
        <v>1200</v>
      </c>
    </row>
    <row r="194" spans="1:4">
      <c r="A194" s="109" t="s">
        <v>179</v>
      </c>
      <c r="B194" s="304">
        <v>282</v>
      </c>
      <c r="C194" s="304">
        <v>300</v>
      </c>
      <c r="D194" s="304">
        <v>200</v>
      </c>
    </row>
    <row r="195" spans="1:4">
      <c r="A195" s="109" t="s">
        <v>965</v>
      </c>
      <c r="B195" s="304">
        <v>0</v>
      </c>
      <c r="C195" s="304"/>
      <c r="D195" s="304"/>
    </row>
    <row r="196" spans="1:4">
      <c r="A196" s="299" t="s">
        <v>132</v>
      </c>
      <c r="B196" s="126">
        <f>SUM(B192:B195)</f>
        <v>91094</v>
      </c>
      <c r="C196" s="126">
        <f>SUM(C192:C195)</f>
        <v>133656</v>
      </c>
      <c r="D196" s="126">
        <f>SUM(D192:D195)</f>
        <v>137073</v>
      </c>
    </row>
    <row r="197" spans="1:4">
      <c r="A197" s="322" t="s">
        <v>1048</v>
      </c>
      <c r="B197" s="126"/>
      <c r="C197" s="126"/>
      <c r="D197" s="126"/>
    </row>
    <row r="198" spans="1:4">
      <c r="A198" s="109" t="s">
        <v>177</v>
      </c>
      <c r="B198" s="304"/>
      <c r="C198" s="304"/>
      <c r="D198" s="304"/>
    </row>
    <row r="199" spans="1:4">
      <c r="A199" s="109" t="s">
        <v>178</v>
      </c>
      <c r="B199" s="304"/>
      <c r="C199" s="304"/>
      <c r="D199" s="304"/>
    </row>
    <row r="200" spans="1:4">
      <c r="A200" s="109" t="s">
        <v>179</v>
      </c>
      <c r="B200" s="304"/>
      <c r="C200" s="304"/>
      <c r="D200" s="304"/>
    </row>
    <row r="201" spans="1:4">
      <c r="A201" s="109" t="s">
        <v>965</v>
      </c>
      <c r="B201" s="304">
        <v>63000</v>
      </c>
      <c r="C201" s="304">
        <v>53000</v>
      </c>
      <c r="D201" s="304">
        <v>55000</v>
      </c>
    </row>
    <row r="202" spans="1:4">
      <c r="A202" s="299" t="s">
        <v>132</v>
      </c>
      <c r="B202" s="317">
        <f>SUM(B198:B201)</f>
        <v>63000</v>
      </c>
      <c r="C202" s="317">
        <f>SUM(C198:C201)</f>
        <v>53000</v>
      </c>
      <c r="D202" s="317">
        <f>SUM(D198:D201)</f>
        <v>55000</v>
      </c>
    </row>
    <row r="203" spans="1:4">
      <c r="A203" s="322" t="s">
        <v>1049</v>
      </c>
      <c r="B203" s="126"/>
      <c r="C203" s="126"/>
      <c r="D203" s="126"/>
    </row>
    <row r="204" spans="1:4">
      <c r="A204" s="109" t="s">
        <v>177</v>
      </c>
      <c r="B204" s="304">
        <v>12015.4</v>
      </c>
      <c r="C204" s="304">
        <v>12750</v>
      </c>
      <c r="D204" s="304">
        <v>13215</v>
      </c>
    </row>
    <row r="205" spans="1:4">
      <c r="A205" s="109" t="s">
        <v>178</v>
      </c>
      <c r="B205" s="304">
        <v>29912</v>
      </c>
      <c r="C205" s="304">
        <v>30000</v>
      </c>
      <c r="D205" s="304">
        <v>47050</v>
      </c>
    </row>
    <row r="206" spans="1:4">
      <c r="A206" s="109" t="s">
        <v>179</v>
      </c>
      <c r="B206" s="304">
        <v>18178</v>
      </c>
      <c r="C206" s="304">
        <v>20000</v>
      </c>
      <c r="D206" s="304">
        <v>12000</v>
      </c>
    </row>
    <row r="207" spans="1:4">
      <c r="A207" s="109" t="s">
        <v>965</v>
      </c>
      <c r="B207" s="304" t="s">
        <v>189</v>
      </c>
      <c r="C207" s="304">
        <v>0</v>
      </c>
      <c r="D207" s="304"/>
    </row>
    <row r="208" spans="1:4">
      <c r="A208" s="109" t="s">
        <v>180</v>
      </c>
      <c r="B208" s="304">
        <v>41770</v>
      </c>
      <c r="C208" s="304">
        <v>1600</v>
      </c>
      <c r="D208" s="304"/>
    </row>
    <row r="209" spans="1:4">
      <c r="A209" s="299" t="s">
        <v>132</v>
      </c>
      <c r="B209" s="126">
        <f>SUM(B204:B208)</f>
        <v>101875.4</v>
      </c>
      <c r="C209" s="126">
        <f>SUM(C204:C208)</f>
        <v>64350</v>
      </c>
      <c r="D209" s="126">
        <f>SUM(D204:D208)</f>
        <v>72265</v>
      </c>
    </row>
    <row r="210" spans="1:4">
      <c r="A210" s="322" t="s">
        <v>1050</v>
      </c>
      <c r="B210" s="126"/>
      <c r="C210" s="126"/>
      <c r="D210" s="126"/>
    </row>
    <row r="211" spans="1:4">
      <c r="A211" s="109" t="s">
        <v>177</v>
      </c>
      <c r="B211" s="304">
        <v>111728</v>
      </c>
      <c r="C211" s="304">
        <f>86006+29700</f>
        <v>115706</v>
      </c>
      <c r="D211" s="304">
        <v>124569</v>
      </c>
    </row>
    <row r="212" spans="1:4">
      <c r="A212" s="109" t="s">
        <v>178</v>
      </c>
      <c r="B212" s="304">
        <v>14626</v>
      </c>
      <c r="C212" s="304">
        <v>34220</v>
      </c>
      <c r="D212" s="304">
        <v>35300</v>
      </c>
    </row>
    <row r="213" spans="1:4">
      <c r="A213" s="109" t="s">
        <v>179</v>
      </c>
      <c r="B213" s="304">
        <v>1949</v>
      </c>
      <c r="C213" s="304">
        <v>6500</v>
      </c>
      <c r="D213" s="304">
        <v>6500</v>
      </c>
    </row>
    <row r="214" spans="1:4">
      <c r="A214" s="109" t="s">
        <v>180</v>
      </c>
      <c r="B214" s="304">
        <v>5854</v>
      </c>
      <c r="C214" s="304">
        <v>635</v>
      </c>
      <c r="D214" s="304">
        <v>6000</v>
      </c>
    </row>
    <row r="215" spans="1:4">
      <c r="A215" s="299" t="s">
        <v>132</v>
      </c>
      <c r="B215" s="317">
        <f>SUM(B211:B214)</f>
        <v>134157</v>
      </c>
      <c r="C215" s="317">
        <f>SUM(C211:C214)</f>
        <v>157061</v>
      </c>
      <c r="D215" s="317">
        <f>SUM(D211:D214)</f>
        <v>172369</v>
      </c>
    </row>
    <row r="216" spans="1:4">
      <c r="A216" s="322" t="s">
        <v>1051</v>
      </c>
      <c r="B216" s="126"/>
      <c r="C216" s="126"/>
      <c r="D216" s="126"/>
    </row>
    <row r="217" spans="1:4">
      <c r="A217" s="109" t="s">
        <v>177</v>
      </c>
      <c r="B217" s="304">
        <v>0</v>
      </c>
      <c r="C217" s="304">
        <v>0</v>
      </c>
      <c r="D217" s="304">
        <v>3700</v>
      </c>
    </row>
    <row r="218" spans="1:4">
      <c r="A218" s="109" t="s">
        <v>178</v>
      </c>
      <c r="B218" s="304">
        <v>1916</v>
      </c>
      <c r="C218" s="304">
        <v>1500</v>
      </c>
      <c r="D218" s="304">
        <v>160000</v>
      </c>
    </row>
    <row r="219" spans="1:4">
      <c r="A219" s="109" t="s">
        <v>179</v>
      </c>
      <c r="B219" s="304">
        <v>124</v>
      </c>
      <c r="C219" s="304">
        <v>200</v>
      </c>
      <c r="D219" s="304">
        <v>200</v>
      </c>
    </row>
    <row r="220" spans="1:4">
      <c r="A220" s="109" t="s">
        <v>180</v>
      </c>
      <c r="B220" s="304"/>
      <c r="C220" s="304"/>
      <c r="D220" s="304"/>
    </row>
    <row r="221" spans="1:4">
      <c r="A221" s="299" t="s">
        <v>132</v>
      </c>
      <c r="B221" s="317">
        <f>SUM(B217:B220)</f>
        <v>2040</v>
      </c>
      <c r="C221" s="317">
        <f>SUM(C217:C220)</f>
        <v>1700</v>
      </c>
      <c r="D221" s="317">
        <f>SUM(D217:D220)</f>
        <v>163900</v>
      </c>
    </row>
    <row r="222" spans="1:4">
      <c r="A222" s="322" t="s">
        <v>187</v>
      </c>
      <c r="B222" s="126"/>
      <c r="C222" s="126"/>
      <c r="D222" s="126"/>
    </row>
    <row r="223" spans="1:4">
      <c r="A223" s="109" t="s">
        <v>178</v>
      </c>
      <c r="B223" s="304"/>
      <c r="C223" s="304"/>
      <c r="D223" s="304"/>
    </row>
    <row r="224" spans="1:4">
      <c r="A224" s="299" t="s">
        <v>132</v>
      </c>
      <c r="B224" s="317">
        <f>B223</f>
        <v>0</v>
      </c>
      <c r="C224" s="317">
        <f>C223</f>
        <v>0</v>
      </c>
      <c r="D224" s="317">
        <f>D223</f>
        <v>0</v>
      </c>
    </row>
    <row r="225" spans="1:4">
      <c r="A225" s="322" t="s">
        <v>1052</v>
      </c>
      <c r="B225" s="126"/>
      <c r="C225" s="126"/>
      <c r="D225" s="126"/>
    </row>
    <row r="226" spans="1:4">
      <c r="A226" s="109" t="s">
        <v>177</v>
      </c>
      <c r="B226" s="304">
        <v>71838</v>
      </c>
      <c r="C226" s="304">
        <f>52300+18000</f>
        <v>70300</v>
      </c>
      <c r="D226" s="304">
        <v>76360</v>
      </c>
    </row>
    <row r="227" spans="1:4">
      <c r="A227" s="109" t="s">
        <v>178</v>
      </c>
      <c r="B227" s="304">
        <v>84511.3</v>
      </c>
      <c r="C227" s="304">
        <v>94200</v>
      </c>
      <c r="D227" s="304">
        <v>97485</v>
      </c>
    </row>
    <row r="228" spans="1:4">
      <c r="A228" s="109" t="s">
        <v>179</v>
      </c>
      <c r="B228" s="304">
        <v>1399.4</v>
      </c>
      <c r="C228" s="304">
        <v>2000</v>
      </c>
      <c r="D228" s="304">
        <v>1950</v>
      </c>
    </row>
    <row r="229" spans="1:4">
      <c r="A229" s="109" t="s">
        <v>180</v>
      </c>
      <c r="B229" s="304"/>
      <c r="C229" s="304"/>
      <c r="D229" s="304"/>
    </row>
    <row r="230" spans="1:4">
      <c r="A230" s="299" t="s">
        <v>132</v>
      </c>
      <c r="B230" s="317">
        <f>SUM(B226:B229)</f>
        <v>157748.69999999998</v>
      </c>
      <c r="C230" s="317">
        <f>SUM(C226:C229)</f>
        <v>166500</v>
      </c>
      <c r="D230" s="317">
        <f>SUM(D226:D229)</f>
        <v>175795</v>
      </c>
    </row>
    <row r="231" spans="1:4">
      <c r="A231" s="322" t="s">
        <v>1053</v>
      </c>
      <c r="B231" s="126"/>
      <c r="C231" s="126"/>
      <c r="D231" s="126"/>
    </row>
    <row r="232" spans="1:4">
      <c r="A232" s="109" t="s">
        <v>177</v>
      </c>
      <c r="B232" s="304">
        <f>43768+1520</f>
        <v>45288</v>
      </c>
      <c r="C232" s="304">
        <f>39500+13600</f>
        <v>53100</v>
      </c>
      <c r="D232" s="304">
        <f>53100+1400</f>
        <v>54500</v>
      </c>
    </row>
    <row r="233" spans="1:4">
      <c r="A233" s="109" t="s">
        <v>178</v>
      </c>
      <c r="B233" s="304">
        <v>1844</v>
      </c>
      <c r="C233" s="304">
        <v>3743</v>
      </c>
      <c r="D233" s="304">
        <v>3400</v>
      </c>
    </row>
    <row r="234" spans="1:4">
      <c r="A234" s="109" t="s">
        <v>179</v>
      </c>
      <c r="B234" s="304">
        <v>412</v>
      </c>
      <c r="C234" s="304">
        <v>1320</v>
      </c>
      <c r="D234" s="304">
        <v>1520</v>
      </c>
    </row>
    <row r="235" spans="1:4">
      <c r="A235" s="109" t="s">
        <v>180</v>
      </c>
      <c r="B235" s="304"/>
      <c r="C235" s="304"/>
      <c r="D235" s="304"/>
    </row>
    <row r="236" spans="1:4">
      <c r="A236" s="299" t="s">
        <v>132</v>
      </c>
      <c r="B236" s="317">
        <f>SUM(B232:B235)</f>
        <v>47544</v>
      </c>
      <c r="C236" s="317">
        <f>SUM(C232:C235)</f>
        <v>58163</v>
      </c>
      <c r="D236" s="317">
        <f>SUM(D232:D235)</f>
        <v>59420</v>
      </c>
    </row>
    <row r="237" spans="1:4">
      <c r="A237" s="299"/>
      <c r="B237" s="317"/>
      <c r="C237" s="317"/>
      <c r="D237" s="317"/>
    </row>
    <row r="238" spans="1:4">
      <c r="A238" s="299" t="s">
        <v>311</v>
      </c>
      <c r="B238" s="310">
        <f>B190+B196+B202+B209+B215+B221+B223+B230+B236</f>
        <v>633339.1</v>
      </c>
      <c r="C238" s="310">
        <f>C190+C196+C202+C209+C215+C221+C223+C230+C236</f>
        <v>677470</v>
      </c>
      <c r="D238" s="310">
        <f>D190+D196+D202+D209+D215+D221+D223+D230+D236</f>
        <v>902862</v>
      </c>
    </row>
    <row r="239" spans="1:4">
      <c r="A239" s="84"/>
      <c r="B239" s="226"/>
      <c r="C239" s="226"/>
      <c r="D239" s="226"/>
    </row>
    <row r="240" spans="1:4">
      <c r="A240" s="806" t="s">
        <v>293</v>
      </c>
      <c r="B240" s="806"/>
      <c r="C240" s="806"/>
      <c r="D240" s="806"/>
    </row>
    <row r="241" spans="1:4">
      <c r="A241" s="226" t="str">
        <f>inputPrYr!C2</f>
        <v>Lyon County</v>
      </c>
      <c r="B241" s="226"/>
      <c r="C241" s="83"/>
      <c r="D241" s="324">
        <f>D1</f>
        <v>2014</v>
      </c>
    </row>
    <row r="242" spans="1:4">
      <c r="A242" s="84"/>
      <c r="B242" s="226"/>
      <c r="C242" s="226"/>
      <c r="D242" s="83"/>
    </row>
    <row r="243" spans="1:4">
      <c r="A243" s="311" t="s">
        <v>232</v>
      </c>
      <c r="B243" s="325"/>
      <c r="C243" s="325"/>
      <c r="D243" s="325"/>
    </row>
    <row r="244" spans="1:4">
      <c r="A244" s="84" t="s">
        <v>159</v>
      </c>
      <c r="B244" s="321" t="str">
        <f t="shared" ref="B244:D245" si="3">B4</f>
        <v xml:space="preserve">Prior Year </v>
      </c>
      <c r="C244" s="214" t="str">
        <f t="shared" si="3"/>
        <v xml:space="preserve">Current Year </v>
      </c>
      <c r="D244" s="214" t="str">
        <f t="shared" si="3"/>
        <v xml:space="preserve">Proposed Budget </v>
      </c>
    </row>
    <row r="245" spans="1:4">
      <c r="A245" s="113" t="s">
        <v>176</v>
      </c>
      <c r="B245" s="313" t="str">
        <f t="shared" si="3"/>
        <v>Actual for 2012</v>
      </c>
      <c r="C245" s="313" t="str">
        <f t="shared" si="3"/>
        <v>Estimate for 2013</v>
      </c>
      <c r="D245" s="313" t="str">
        <f t="shared" si="3"/>
        <v>Year for 2014</v>
      </c>
    </row>
    <row r="246" spans="1:4">
      <c r="A246" s="260" t="s">
        <v>172</v>
      </c>
      <c r="B246" s="126"/>
      <c r="C246" s="126"/>
      <c r="D246" s="126"/>
    </row>
    <row r="247" spans="1:4">
      <c r="A247" s="322" t="s">
        <v>1054</v>
      </c>
      <c r="B247" s="126"/>
      <c r="C247" s="126"/>
      <c r="D247" s="126"/>
    </row>
    <row r="248" spans="1:4">
      <c r="A248" s="109" t="s">
        <v>177</v>
      </c>
      <c r="B248" s="304">
        <v>134911</v>
      </c>
      <c r="C248" s="304">
        <v>137012</v>
      </c>
      <c r="D248" s="304">
        <v>148446</v>
      </c>
    </row>
    <row r="249" spans="1:4">
      <c r="A249" s="109" t="s">
        <v>178</v>
      </c>
      <c r="B249" s="304">
        <v>45973.4</v>
      </c>
      <c r="C249" s="304">
        <v>41876</v>
      </c>
      <c r="D249" s="304">
        <v>73776</v>
      </c>
    </row>
    <row r="250" spans="1:4">
      <c r="A250" s="109" t="s">
        <v>179</v>
      </c>
      <c r="B250" s="304">
        <v>2179.4</v>
      </c>
      <c r="C250" s="304">
        <v>1677</v>
      </c>
      <c r="D250" s="304">
        <v>1900</v>
      </c>
    </row>
    <row r="251" spans="1:4">
      <c r="A251" s="109" t="s">
        <v>180</v>
      </c>
      <c r="B251" s="304"/>
      <c r="C251" s="304"/>
      <c r="D251" s="304"/>
    </row>
    <row r="252" spans="1:4">
      <c r="A252" s="299" t="s">
        <v>132</v>
      </c>
      <c r="B252" s="317">
        <f>SUM(B248:B251)</f>
        <v>183063.8</v>
      </c>
      <c r="C252" s="317">
        <f>SUM(C248:C251)</f>
        <v>180565</v>
      </c>
      <c r="D252" s="317">
        <f>SUM(D248:D251)</f>
        <v>224122</v>
      </c>
    </row>
    <row r="253" spans="1:4">
      <c r="A253" s="322" t="s">
        <v>1055</v>
      </c>
      <c r="B253" s="126"/>
      <c r="C253" s="126"/>
      <c r="D253" s="126"/>
    </row>
    <row r="254" spans="1:4">
      <c r="A254" s="109" t="s">
        <v>177</v>
      </c>
      <c r="B254" s="304">
        <v>132627</v>
      </c>
      <c r="C254" s="304">
        <v>137012</v>
      </c>
      <c r="D254" s="304">
        <v>148968</v>
      </c>
    </row>
    <row r="255" spans="1:4">
      <c r="A255" s="109" t="s">
        <v>178</v>
      </c>
      <c r="B255" s="304">
        <v>41260</v>
      </c>
      <c r="C255" s="304">
        <v>41576</v>
      </c>
      <c r="D255" s="304">
        <v>74366</v>
      </c>
    </row>
    <row r="256" spans="1:4">
      <c r="A256" s="109" t="s">
        <v>179</v>
      </c>
      <c r="B256" s="304">
        <v>1050</v>
      </c>
      <c r="C256" s="304">
        <v>2660</v>
      </c>
      <c r="D256" s="304">
        <v>2400</v>
      </c>
    </row>
    <row r="257" spans="1:4">
      <c r="A257" s="109" t="s">
        <v>180</v>
      </c>
      <c r="B257" s="304">
        <v>0</v>
      </c>
      <c r="C257" s="304"/>
      <c r="D257" s="304"/>
    </row>
    <row r="258" spans="1:4">
      <c r="A258" s="299" t="s">
        <v>132</v>
      </c>
      <c r="B258" s="317">
        <f>SUM(B254:B257)</f>
        <v>174937</v>
      </c>
      <c r="C258" s="317">
        <f>SUM(C254:C257)</f>
        <v>181248</v>
      </c>
      <c r="D258" s="317">
        <f>SUM(D254:D257)</f>
        <v>225734</v>
      </c>
    </row>
    <row r="259" spans="1:4">
      <c r="A259" s="322" t="s">
        <v>1056</v>
      </c>
      <c r="B259" s="126"/>
      <c r="C259" s="126"/>
      <c r="D259" s="126"/>
    </row>
    <row r="260" spans="1:4">
      <c r="A260" s="109" t="s">
        <v>177</v>
      </c>
      <c r="B260" s="304">
        <f>472299+2673</f>
        <v>474972</v>
      </c>
      <c r="C260" s="304">
        <f>368547+141863</f>
        <v>510410</v>
      </c>
      <c r="D260" s="304">
        <f>535296+3500</f>
        <v>538796</v>
      </c>
    </row>
    <row r="261" spans="1:4">
      <c r="A261" s="109" t="s">
        <v>178</v>
      </c>
      <c r="B261" s="304">
        <v>644931</v>
      </c>
      <c r="C261" s="304">
        <v>620000</v>
      </c>
      <c r="D261" s="304">
        <v>605301</v>
      </c>
    </row>
    <row r="262" spans="1:4">
      <c r="A262" s="109" t="s">
        <v>179</v>
      </c>
      <c r="B262" s="304">
        <v>37916</v>
      </c>
      <c r="C262" s="304">
        <v>39000</v>
      </c>
      <c r="D262" s="304">
        <v>37066</v>
      </c>
    </row>
    <row r="263" spans="1:4">
      <c r="A263" s="109" t="s">
        <v>180</v>
      </c>
      <c r="B263" s="304">
        <v>15889</v>
      </c>
      <c r="C263" s="304">
        <v>6013</v>
      </c>
      <c r="D263" s="304"/>
    </row>
    <row r="264" spans="1:4">
      <c r="A264" s="299" t="s">
        <v>132</v>
      </c>
      <c r="B264" s="317">
        <f>SUM(B260:B263)</f>
        <v>1173708</v>
      </c>
      <c r="C264" s="317">
        <f>SUM(C260:C263)</f>
        <v>1175423</v>
      </c>
      <c r="D264" s="317">
        <f>SUM(D260:D263)</f>
        <v>1181163</v>
      </c>
    </row>
    <row r="265" spans="1:4">
      <c r="A265" s="322" t="s">
        <v>967</v>
      </c>
      <c r="B265" s="126"/>
      <c r="C265" s="126"/>
      <c r="D265" s="126"/>
    </row>
    <row r="266" spans="1:4">
      <c r="A266" s="109" t="s">
        <v>177</v>
      </c>
      <c r="B266" s="304"/>
      <c r="C266" s="304"/>
      <c r="D266" s="304"/>
    </row>
    <row r="267" spans="1:4">
      <c r="A267" s="109" t="s">
        <v>178</v>
      </c>
      <c r="B267" s="304">
        <v>0</v>
      </c>
      <c r="C267" s="304"/>
      <c r="D267" s="304"/>
    </row>
    <row r="268" spans="1:4">
      <c r="A268" s="109" t="s">
        <v>179</v>
      </c>
      <c r="B268" s="304"/>
      <c r="C268" s="304"/>
      <c r="D268" s="304"/>
    </row>
    <row r="269" spans="1:4">
      <c r="A269" s="109" t="s">
        <v>180</v>
      </c>
      <c r="B269" s="304"/>
      <c r="C269" s="304"/>
      <c r="D269" s="304"/>
    </row>
    <row r="270" spans="1:4">
      <c r="A270" s="299" t="s">
        <v>132</v>
      </c>
      <c r="B270" s="317">
        <f>SUM(B266:B269)</f>
        <v>0</v>
      </c>
      <c r="C270" s="317">
        <f>SUM(C266:C269)</f>
        <v>0</v>
      </c>
      <c r="D270" s="317">
        <f>SUM(D266:D269)</f>
        <v>0</v>
      </c>
    </row>
    <row r="271" spans="1:4">
      <c r="A271" s="322"/>
      <c r="B271" s="126"/>
      <c r="C271" s="126"/>
      <c r="D271" s="126"/>
    </row>
    <row r="272" spans="1:4">
      <c r="A272" s="109" t="s">
        <v>178</v>
      </c>
      <c r="B272" s="304"/>
      <c r="C272" s="304"/>
      <c r="D272" s="304"/>
    </row>
    <row r="273" spans="1:4">
      <c r="A273" s="109" t="s">
        <v>186</v>
      </c>
      <c r="B273" s="304"/>
      <c r="C273" s="304"/>
      <c r="D273" s="304"/>
    </row>
    <row r="274" spans="1:4">
      <c r="A274" s="299" t="s">
        <v>132</v>
      </c>
      <c r="B274" s="317">
        <f>SUM(B272:B273)</f>
        <v>0</v>
      </c>
      <c r="C274" s="317">
        <f>SUM(C272:C273)</f>
        <v>0</v>
      </c>
      <c r="D274" s="317">
        <f>SUM(D272:D273)</f>
        <v>0</v>
      </c>
    </row>
    <row r="275" spans="1:4">
      <c r="A275" s="322"/>
      <c r="B275" s="126"/>
      <c r="C275" s="126"/>
      <c r="D275" s="126"/>
    </row>
    <row r="276" spans="1:4">
      <c r="A276" s="109" t="s">
        <v>177</v>
      </c>
      <c r="B276" s="304"/>
      <c r="C276" s="304"/>
      <c r="D276" s="304"/>
    </row>
    <row r="277" spans="1:4">
      <c r="A277" s="109" t="s">
        <v>178</v>
      </c>
      <c r="B277" s="304"/>
      <c r="C277" s="304"/>
      <c r="D277" s="304"/>
    </row>
    <row r="278" spans="1:4">
      <c r="A278" s="109" t="s">
        <v>179</v>
      </c>
      <c r="B278" s="304"/>
      <c r="C278" s="304"/>
      <c r="D278" s="304"/>
    </row>
    <row r="279" spans="1:4">
      <c r="A279" s="109" t="s">
        <v>180</v>
      </c>
      <c r="B279" s="304"/>
      <c r="C279" s="304"/>
      <c r="D279" s="304"/>
    </row>
    <row r="280" spans="1:4">
      <c r="A280" s="299" t="s">
        <v>132</v>
      </c>
      <c r="B280" s="317">
        <f>SUM(B276:B279)</f>
        <v>0</v>
      </c>
      <c r="C280" s="317">
        <f>SUM(C276:C279)</f>
        <v>0</v>
      </c>
      <c r="D280" s="317">
        <f>SUM(D276:D279)</f>
        <v>0</v>
      </c>
    </row>
    <row r="281" spans="1:4">
      <c r="A281" s="322"/>
      <c r="B281" s="126"/>
      <c r="C281" s="126"/>
      <c r="D281" s="126"/>
    </row>
    <row r="282" spans="1:4">
      <c r="A282" s="109" t="s">
        <v>177</v>
      </c>
      <c r="B282" s="304"/>
      <c r="C282" s="304"/>
      <c r="D282" s="304"/>
    </row>
    <row r="283" spans="1:4">
      <c r="A283" s="109" t="s">
        <v>178</v>
      </c>
      <c r="B283" s="304"/>
      <c r="C283" s="304"/>
      <c r="D283" s="304"/>
    </row>
    <row r="284" spans="1:4">
      <c r="A284" s="109" t="s">
        <v>179</v>
      </c>
      <c r="B284" s="304"/>
      <c r="C284" s="304"/>
      <c r="D284" s="304"/>
    </row>
    <row r="285" spans="1:4">
      <c r="A285" s="109" t="s">
        <v>180</v>
      </c>
      <c r="B285" s="304"/>
      <c r="C285" s="304"/>
      <c r="D285" s="304"/>
    </row>
    <row r="286" spans="1:4">
      <c r="A286" s="299" t="s">
        <v>132</v>
      </c>
      <c r="B286" s="317">
        <f>SUM(B282:B285)</f>
        <v>0</v>
      </c>
      <c r="C286" s="317">
        <f>SUM(C282:C285)</f>
        <v>0</v>
      </c>
      <c r="D286" s="317">
        <f>SUM(D282:D285)</f>
        <v>0</v>
      </c>
    </row>
    <row r="287" spans="1:4">
      <c r="A287" s="299"/>
      <c r="B287" s="126"/>
      <c r="C287" s="126"/>
      <c r="D287" s="126"/>
    </row>
    <row r="288" spans="1:4">
      <c r="A288" s="299" t="s">
        <v>312</v>
      </c>
      <c r="B288" s="317">
        <f>B252+B258+B264+B270+B274+B280+B286</f>
        <v>1531708.8</v>
      </c>
      <c r="C288" s="317">
        <f>C252+C258+C264+C270+C274+C280+C286</f>
        <v>1537236</v>
      </c>
      <c r="D288" s="317">
        <f>D252+D258+D264+D270+D274+D280+D286</f>
        <v>1631019</v>
      </c>
    </row>
    <row r="289" spans="1:4">
      <c r="A289" s="299"/>
      <c r="B289" s="126"/>
      <c r="C289" s="126"/>
      <c r="D289" s="126"/>
    </row>
    <row r="290" spans="1:4">
      <c r="A290" s="299" t="s">
        <v>313</v>
      </c>
      <c r="B290" s="317">
        <f>B57</f>
        <v>2398045</v>
      </c>
      <c r="C290" s="317">
        <f>C57</f>
        <v>2445121</v>
      </c>
      <c r="D290" s="317">
        <f>D57</f>
        <v>2677889</v>
      </c>
    </row>
    <row r="291" spans="1:4">
      <c r="A291" s="84"/>
      <c r="B291" s="126"/>
      <c r="C291" s="126"/>
      <c r="D291" s="126"/>
    </row>
    <row r="292" spans="1:4">
      <c r="A292" s="299" t="s">
        <v>314</v>
      </c>
      <c r="B292" s="317">
        <f>B116</f>
        <v>3252191</v>
      </c>
      <c r="C292" s="317">
        <f>C116</f>
        <v>3282168</v>
      </c>
      <c r="D292" s="317">
        <f>D116</f>
        <v>3560231</v>
      </c>
    </row>
    <row r="293" spans="1:4">
      <c r="A293" s="84"/>
      <c r="B293" s="126"/>
      <c r="C293" s="126"/>
      <c r="D293" s="126"/>
    </row>
    <row r="294" spans="1:4">
      <c r="A294" s="299" t="s">
        <v>310</v>
      </c>
      <c r="B294" s="317">
        <f>B176</f>
        <v>3874483</v>
      </c>
      <c r="C294" s="317">
        <f>C176</f>
        <v>4109449</v>
      </c>
      <c r="D294" s="317">
        <f>D176</f>
        <v>4353746</v>
      </c>
    </row>
    <row r="295" spans="1:4">
      <c r="A295" s="84"/>
      <c r="B295" s="126"/>
      <c r="C295" s="126"/>
      <c r="D295" s="126"/>
    </row>
    <row r="296" spans="1:4">
      <c r="A296" s="299" t="s">
        <v>311</v>
      </c>
      <c r="B296" s="317">
        <f>B238</f>
        <v>633339.1</v>
      </c>
      <c r="C296" s="317">
        <f>C238</f>
        <v>677470</v>
      </c>
      <c r="D296" s="317">
        <f>D238</f>
        <v>902862</v>
      </c>
    </row>
    <row r="297" spans="1:4">
      <c r="A297" s="84"/>
      <c r="B297" s="126"/>
      <c r="C297" s="126"/>
      <c r="D297" s="126"/>
    </row>
    <row r="298" spans="1:4" ht="16.5" thickBot="1">
      <c r="A298" s="260" t="s">
        <v>31</v>
      </c>
      <c r="B298" s="327">
        <f>SUM(B288:B297)</f>
        <v>11689766.9</v>
      </c>
      <c r="C298" s="327">
        <f>SUM(C288:C297)</f>
        <v>12051444</v>
      </c>
      <c r="D298" s="327">
        <f>SUM(D288:D297)</f>
        <v>13125747</v>
      </c>
    </row>
    <row r="299" spans="1:4" ht="16.5" thickTop="1">
      <c r="A299" s="328" t="s">
        <v>32</v>
      </c>
      <c r="B299" s="329"/>
      <c r="C299" s="329"/>
      <c r="D299" s="329"/>
    </row>
    <row r="300" spans="1:4">
      <c r="A300" s="806" t="s">
        <v>315</v>
      </c>
      <c r="B300" s="806"/>
      <c r="C300" s="806"/>
      <c r="D300" s="806"/>
    </row>
    <row r="301" spans="1:4">
      <c r="B301" s="330"/>
      <c r="C301" s="330"/>
      <c r="D301" s="330"/>
    </row>
    <row r="302" spans="1:4">
      <c r="B302" s="330"/>
      <c r="C302" s="330"/>
      <c r="D302" s="330"/>
    </row>
    <row r="303" spans="1:4">
      <c r="B303" s="330"/>
      <c r="C303" s="330"/>
      <c r="D303" s="330"/>
    </row>
    <row r="304" spans="1:4">
      <c r="B304" s="330"/>
      <c r="C304" s="330"/>
      <c r="D304" s="330"/>
    </row>
    <row r="305" spans="2:4">
      <c r="B305" s="330"/>
      <c r="C305" s="330"/>
      <c r="D305" s="330"/>
    </row>
    <row r="306" spans="2:4">
      <c r="B306" s="330"/>
      <c r="C306" s="330"/>
      <c r="D306" s="330"/>
    </row>
    <row r="307" spans="2:4">
      <c r="B307" s="330"/>
      <c r="C307" s="330"/>
      <c r="D307" s="330"/>
    </row>
    <row r="308" spans="2:4">
      <c r="B308" s="330"/>
      <c r="C308" s="330"/>
      <c r="D308" s="330"/>
    </row>
    <row r="309" spans="2:4">
      <c r="B309" s="330"/>
      <c r="C309" s="330"/>
      <c r="D309" s="330"/>
    </row>
    <row r="310" spans="2:4">
      <c r="B310" s="330"/>
      <c r="C310" s="330"/>
      <c r="D310" s="330"/>
    </row>
    <row r="311" spans="2:4">
      <c r="B311" s="330"/>
      <c r="C311" s="330"/>
      <c r="D311" s="330"/>
    </row>
    <row r="312" spans="2:4">
      <c r="B312" s="330"/>
      <c r="C312" s="330"/>
      <c r="D312" s="330"/>
    </row>
    <row r="313" spans="2:4">
      <c r="B313" s="330"/>
      <c r="C313" s="330"/>
      <c r="D313" s="330"/>
    </row>
    <row r="314" spans="2:4">
      <c r="B314" s="330"/>
      <c r="C314" s="330"/>
      <c r="D314" s="330"/>
    </row>
    <row r="315" spans="2:4">
      <c r="B315" s="330"/>
      <c r="C315" s="330"/>
      <c r="D315" s="330"/>
    </row>
    <row r="316" spans="2:4">
      <c r="B316" s="330"/>
      <c r="C316" s="330"/>
      <c r="D316" s="330"/>
    </row>
    <row r="317" spans="2:4">
      <c r="B317" s="330"/>
      <c r="C317" s="330"/>
      <c r="D317" s="330"/>
    </row>
    <row r="318" spans="2:4">
      <c r="B318" s="330"/>
      <c r="C318" s="330"/>
      <c r="D318" s="330"/>
    </row>
    <row r="319" spans="2:4">
      <c r="B319" s="330"/>
      <c r="C319" s="330"/>
      <c r="D319" s="330"/>
    </row>
    <row r="320" spans="2:4">
      <c r="B320" s="330"/>
      <c r="C320" s="330"/>
      <c r="D320" s="330"/>
    </row>
    <row r="321" spans="2:4">
      <c r="B321" s="330"/>
      <c r="C321" s="330"/>
      <c r="D321" s="330"/>
    </row>
    <row r="322" spans="2:4">
      <c r="B322" s="330"/>
      <c r="C322" s="330"/>
      <c r="D322" s="330"/>
    </row>
    <row r="323" spans="2:4">
      <c r="B323" s="330"/>
      <c r="C323" s="330"/>
      <c r="D323" s="330"/>
    </row>
    <row r="324" spans="2:4">
      <c r="B324" s="330"/>
      <c r="C324" s="330"/>
      <c r="D324" s="330"/>
    </row>
    <row r="325" spans="2:4">
      <c r="B325" s="330"/>
      <c r="C325" s="330"/>
      <c r="D325" s="330"/>
    </row>
    <row r="326" spans="2:4">
      <c r="B326" s="330"/>
      <c r="C326" s="330"/>
      <c r="D326" s="330"/>
    </row>
    <row r="327" spans="2:4">
      <c r="B327" s="330"/>
      <c r="C327" s="330"/>
      <c r="D327" s="330"/>
    </row>
    <row r="328" spans="2:4">
      <c r="B328" s="330"/>
      <c r="C328" s="330"/>
      <c r="D328" s="330"/>
    </row>
    <row r="329" spans="2:4">
      <c r="B329" s="330"/>
      <c r="C329" s="330"/>
      <c r="D329" s="330"/>
    </row>
    <row r="330" spans="2:4">
      <c r="B330" s="330"/>
      <c r="C330" s="330"/>
      <c r="D330" s="330"/>
    </row>
    <row r="331" spans="2:4">
      <c r="B331" s="330"/>
      <c r="C331" s="330"/>
      <c r="D331" s="330"/>
    </row>
    <row r="332" spans="2:4">
      <c r="B332" s="330"/>
      <c r="C332" s="330"/>
      <c r="D332" s="330"/>
    </row>
    <row r="333" spans="2:4">
      <c r="B333" s="330"/>
      <c r="C333" s="330"/>
      <c r="D333" s="330"/>
    </row>
    <row r="334" spans="2:4">
      <c r="B334" s="330"/>
      <c r="C334" s="330"/>
      <c r="D334" s="330"/>
    </row>
    <row r="335" spans="2:4">
      <c r="B335" s="330"/>
      <c r="C335" s="330"/>
      <c r="D335" s="330"/>
    </row>
    <row r="336" spans="2:4">
      <c r="B336" s="330"/>
      <c r="C336" s="330"/>
      <c r="D336" s="330"/>
    </row>
    <row r="337" spans="2:4">
      <c r="B337" s="330"/>
      <c r="C337" s="330"/>
      <c r="D337" s="330"/>
    </row>
    <row r="338" spans="2:4">
      <c r="B338" s="330"/>
      <c r="C338" s="330"/>
      <c r="D338" s="330"/>
    </row>
    <row r="339" spans="2:4">
      <c r="B339" s="330"/>
      <c r="C339" s="330"/>
      <c r="D339" s="330"/>
    </row>
    <row r="340" spans="2:4">
      <c r="B340" s="330"/>
      <c r="C340" s="330"/>
      <c r="D340" s="330"/>
    </row>
    <row r="341" spans="2:4">
      <c r="B341" s="330"/>
      <c r="C341" s="330"/>
      <c r="D341" s="330"/>
    </row>
    <row r="342" spans="2:4">
      <c r="B342" s="330"/>
      <c r="C342" s="330"/>
      <c r="D342" s="330"/>
    </row>
    <row r="343" spans="2:4">
      <c r="B343" s="330"/>
      <c r="C343" s="330"/>
      <c r="D343" s="330"/>
    </row>
    <row r="344" spans="2:4">
      <c r="B344" s="330"/>
      <c r="C344" s="330"/>
      <c r="D344" s="330"/>
    </row>
    <row r="345" spans="2:4">
      <c r="B345" s="330"/>
      <c r="C345" s="330"/>
      <c r="D345" s="330"/>
    </row>
    <row r="346" spans="2:4">
      <c r="B346" s="330"/>
      <c r="C346" s="330"/>
      <c r="D346" s="330"/>
    </row>
    <row r="347" spans="2:4">
      <c r="B347" s="330"/>
      <c r="C347" s="330"/>
      <c r="D347" s="330"/>
    </row>
    <row r="348" spans="2:4">
      <c r="B348" s="330"/>
      <c r="C348" s="330"/>
      <c r="D348" s="330"/>
    </row>
    <row r="349" spans="2:4">
      <c r="B349" s="330"/>
      <c r="C349" s="330"/>
      <c r="D349" s="330"/>
    </row>
    <row r="350" spans="2:4">
      <c r="B350" s="330"/>
      <c r="C350" s="330"/>
      <c r="D350" s="330"/>
    </row>
    <row r="351" spans="2:4">
      <c r="B351" s="330"/>
      <c r="C351" s="330"/>
      <c r="D351" s="330"/>
    </row>
    <row r="352" spans="2:4">
      <c r="B352" s="330"/>
      <c r="C352" s="330"/>
      <c r="D352" s="330"/>
    </row>
    <row r="353" spans="2:4">
      <c r="B353" s="330"/>
      <c r="C353" s="330"/>
      <c r="D353" s="330"/>
    </row>
    <row r="354" spans="2:4">
      <c r="B354" s="330"/>
      <c r="C354" s="330"/>
      <c r="D354" s="330"/>
    </row>
    <row r="355" spans="2:4">
      <c r="B355" s="330"/>
      <c r="C355" s="330"/>
      <c r="D355" s="330"/>
    </row>
    <row r="356" spans="2:4">
      <c r="B356" s="330"/>
      <c r="C356" s="330"/>
      <c r="D356" s="330"/>
    </row>
    <row r="357" spans="2:4">
      <c r="B357" s="330"/>
      <c r="C357" s="330"/>
      <c r="D357" s="330"/>
    </row>
    <row r="358" spans="2:4">
      <c r="B358" s="330"/>
      <c r="C358" s="330"/>
      <c r="D358" s="330"/>
    </row>
    <row r="359" spans="2:4">
      <c r="B359" s="330"/>
      <c r="C359" s="330"/>
      <c r="D359" s="330"/>
    </row>
    <row r="360" spans="2:4">
      <c r="B360" s="330"/>
      <c r="C360" s="330"/>
      <c r="D360" s="330"/>
    </row>
    <row r="361" spans="2:4">
      <c r="B361" s="330"/>
      <c r="C361" s="330"/>
      <c r="D361" s="330"/>
    </row>
    <row r="362" spans="2:4">
      <c r="B362" s="330"/>
      <c r="C362" s="330"/>
      <c r="D362" s="330"/>
    </row>
    <row r="363" spans="2:4">
      <c r="B363" s="330"/>
      <c r="C363" s="330"/>
      <c r="D363" s="330"/>
    </row>
    <row r="364" spans="2:4">
      <c r="B364" s="330"/>
      <c r="C364" s="330"/>
      <c r="D364" s="330"/>
    </row>
    <row r="365" spans="2:4">
      <c r="B365" s="330"/>
      <c r="C365" s="330"/>
      <c r="D365" s="330"/>
    </row>
    <row r="366" spans="2:4">
      <c r="B366" s="330"/>
      <c r="C366" s="330"/>
      <c r="D366" s="330"/>
    </row>
    <row r="367" spans="2:4">
      <c r="B367" s="330"/>
      <c r="C367" s="330"/>
      <c r="D367" s="330"/>
    </row>
    <row r="368" spans="2:4">
      <c r="B368" s="330"/>
      <c r="C368" s="330"/>
      <c r="D368" s="330"/>
    </row>
    <row r="369" spans="2:4">
      <c r="B369" s="330"/>
      <c r="C369" s="330"/>
      <c r="D369" s="330"/>
    </row>
    <row r="370" spans="2:4">
      <c r="B370" s="330"/>
      <c r="C370" s="330"/>
      <c r="D370" s="330"/>
    </row>
    <row r="371" spans="2:4">
      <c r="B371" s="330"/>
      <c r="C371" s="330"/>
      <c r="D371" s="330"/>
    </row>
    <row r="372" spans="2:4">
      <c r="B372" s="330"/>
      <c r="C372" s="330"/>
      <c r="D372" s="330"/>
    </row>
    <row r="373" spans="2:4">
      <c r="B373" s="330"/>
      <c r="C373" s="330"/>
      <c r="D373" s="330"/>
    </row>
    <row r="374" spans="2:4">
      <c r="B374" s="330"/>
      <c r="C374" s="330"/>
      <c r="D374" s="330"/>
    </row>
    <row r="375" spans="2:4">
      <c r="B375" s="330"/>
      <c r="C375" s="330"/>
      <c r="D375" s="330"/>
    </row>
    <row r="376" spans="2:4">
      <c r="B376" s="330"/>
      <c r="C376" s="330"/>
      <c r="D376" s="330"/>
    </row>
    <row r="377" spans="2:4">
      <c r="B377" s="330"/>
      <c r="C377" s="330"/>
      <c r="D377" s="330"/>
    </row>
    <row r="378" spans="2:4">
      <c r="B378" s="330"/>
      <c r="C378" s="330"/>
      <c r="D378" s="330"/>
    </row>
    <row r="379" spans="2:4">
      <c r="B379" s="330"/>
      <c r="C379" s="330"/>
      <c r="D379" s="330"/>
    </row>
    <row r="380" spans="2:4">
      <c r="B380" s="330"/>
      <c r="C380" s="330"/>
      <c r="D380" s="330"/>
    </row>
    <row r="381" spans="2:4">
      <c r="B381" s="330"/>
      <c r="C381" s="330"/>
      <c r="D381" s="330"/>
    </row>
    <row r="382" spans="2:4">
      <c r="B382" s="330"/>
      <c r="C382" s="330"/>
      <c r="D382" s="330"/>
    </row>
    <row r="383" spans="2:4">
      <c r="B383" s="330"/>
      <c r="C383" s="330"/>
      <c r="D383" s="330"/>
    </row>
    <row r="384" spans="2:4">
      <c r="B384" s="330"/>
      <c r="C384" s="330"/>
      <c r="D384" s="330"/>
    </row>
    <row r="385" spans="2:4">
      <c r="B385" s="330"/>
      <c r="C385" s="330"/>
      <c r="D385" s="330"/>
    </row>
    <row r="386" spans="2:4">
      <c r="B386" s="330"/>
      <c r="C386" s="330"/>
      <c r="D386" s="330"/>
    </row>
    <row r="387" spans="2:4">
      <c r="B387" s="330"/>
      <c r="C387" s="330"/>
      <c r="D387" s="330"/>
    </row>
    <row r="388" spans="2:4">
      <c r="B388" s="330"/>
      <c r="C388" s="330"/>
      <c r="D388" s="330"/>
    </row>
    <row r="389" spans="2:4">
      <c r="B389" s="330"/>
      <c r="C389" s="330"/>
      <c r="D389" s="330"/>
    </row>
    <row r="390" spans="2:4">
      <c r="B390" s="330"/>
      <c r="C390" s="330"/>
      <c r="D390" s="330"/>
    </row>
    <row r="391" spans="2:4">
      <c r="B391" s="330"/>
      <c r="C391" s="330"/>
      <c r="D391" s="330"/>
    </row>
    <row r="392" spans="2:4">
      <c r="B392" s="330"/>
      <c r="C392" s="330"/>
      <c r="D392" s="330"/>
    </row>
    <row r="393" spans="2:4">
      <c r="B393" s="330"/>
      <c r="C393" s="330"/>
      <c r="D393" s="330"/>
    </row>
    <row r="394" spans="2:4">
      <c r="B394" s="330"/>
      <c r="C394" s="330"/>
      <c r="D394" s="330"/>
    </row>
    <row r="395" spans="2:4">
      <c r="B395" s="330"/>
      <c r="C395" s="330"/>
      <c r="D395" s="330"/>
    </row>
    <row r="396" spans="2:4">
      <c r="B396" s="330"/>
      <c r="C396" s="330"/>
      <c r="D396" s="330"/>
    </row>
    <row r="397" spans="2:4">
      <c r="B397" s="330"/>
      <c r="C397" s="330"/>
      <c r="D397" s="330"/>
    </row>
    <row r="398" spans="2:4">
      <c r="B398" s="330"/>
      <c r="C398" s="330"/>
      <c r="D398" s="330"/>
    </row>
    <row r="399" spans="2:4">
      <c r="B399" s="330"/>
      <c r="C399" s="330"/>
      <c r="D399" s="330"/>
    </row>
    <row r="400" spans="2:4">
      <c r="B400" s="330"/>
      <c r="C400" s="330"/>
      <c r="D400" s="330"/>
    </row>
    <row r="401" spans="2:4">
      <c r="B401" s="330"/>
      <c r="C401" s="330"/>
      <c r="D401" s="330"/>
    </row>
    <row r="402" spans="2:4">
      <c r="B402" s="330"/>
      <c r="C402" s="330"/>
      <c r="D402" s="330"/>
    </row>
    <row r="403" spans="2:4">
      <c r="B403" s="330"/>
      <c r="C403" s="330"/>
      <c r="D403" s="330"/>
    </row>
  </sheetData>
  <mergeCells count="5">
    <mergeCell ref="A300:D300"/>
    <mergeCell ref="A59:D59"/>
    <mergeCell ref="A118:D118"/>
    <mergeCell ref="A178:D178"/>
    <mergeCell ref="A240:D240"/>
  </mergeCells>
  <phoneticPr fontId="0" type="noConversion"/>
  <pageMargins left="1.1200000000000001" right="0.5" top="0.74" bottom="0.34" header="0.5" footer="0"/>
  <pageSetup scale="71" orientation="portrait" blackAndWhite="1" horizontalDpi="120" verticalDpi="144" r:id="rId1"/>
  <headerFooter alignWithMargins="0">
    <oddHeader xml:space="preserve">&amp;RState of Kansas
County
</oddHeader>
  </headerFooter>
  <rowBreaks count="4" manualBreakCount="4">
    <brk id="59" max="16383" man="1"/>
    <brk id="118" max="3" man="1"/>
    <brk id="178" max="16383" man="1"/>
    <brk id="240" max="16383" man="1"/>
  </rowBreaks>
</worksheet>
</file>

<file path=xl/worksheets/sheet15.xml><?xml version="1.0" encoding="utf-8"?>
<worksheet xmlns="http://schemas.openxmlformats.org/spreadsheetml/2006/main" xmlns:r="http://schemas.openxmlformats.org/officeDocument/2006/relationships">
  <sheetPr>
    <pageSetUpPr fitToPage="1"/>
  </sheetPr>
  <dimension ref="B1:K71"/>
  <sheetViews>
    <sheetView zoomScaleNormal="100" workbookViewId="0">
      <selection activeCell="C59" sqref="C59"/>
    </sheetView>
  </sheetViews>
  <sheetFormatPr defaultRowHeight="15.75"/>
  <cols>
    <col min="1" max="1" width="2.44140625" style="142" customWidth="1"/>
    <col min="2" max="2" width="31.109375" style="142" customWidth="1"/>
    <col min="3" max="4" width="16.21875" style="142" customWidth="1"/>
    <col min="5" max="5" width="16.33203125" style="142" customWidth="1"/>
    <col min="6" max="6" width="7.44140625" style="142" customWidth="1"/>
    <col min="7" max="7" width="10.21875" style="142" customWidth="1"/>
    <col min="8" max="8" width="8.88671875" style="142"/>
    <col min="9" max="9" width="5" style="142" customWidth="1"/>
    <col min="10" max="10" width="10" style="142" customWidth="1"/>
    <col min="11" max="16384" width="8.88671875" style="142"/>
  </cols>
  <sheetData>
    <row r="1" spans="2:5">
      <c r="B1" s="226" t="str">
        <f>inputPrYr!C2</f>
        <v>Lyon County</v>
      </c>
      <c r="C1" s="84"/>
      <c r="D1" s="84"/>
      <c r="E1" s="252">
        <f>inputPrYr!$C$4</f>
        <v>2014</v>
      </c>
    </row>
    <row r="2" spans="2:5">
      <c r="B2" s="84"/>
      <c r="C2" s="84"/>
      <c r="D2" s="84"/>
      <c r="E2" s="238"/>
    </row>
    <row r="3" spans="2:5">
      <c r="B3" s="151" t="s">
        <v>236</v>
      </c>
      <c r="C3" s="331"/>
      <c r="D3" s="331"/>
      <c r="E3" s="332"/>
    </row>
    <row r="4" spans="2:5">
      <c r="B4" s="84"/>
      <c r="C4" s="325"/>
      <c r="D4" s="325"/>
      <c r="E4" s="325"/>
    </row>
    <row r="5" spans="2:5">
      <c r="B5" s="83" t="s">
        <v>159</v>
      </c>
      <c r="C5" s="701" t="s">
        <v>842</v>
      </c>
      <c r="D5" s="702" t="s">
        <v>843</v>
      </c>
      <c r="E5" s="214" t="s">
        <v>844</v>
      </c>
    </row>
    <row r="6" spans="2:5">
      <c r="B6" s="482" t="str">
        <f>inputPrYr!B17</f>
        <v>Debt Service</v>
      </c>
      <c r="C6" s="453" t="str">
        <f>CONCATENATE("Actual for ",E1-2,"")</f>
        <v>Actual for 2012</v>
      </c>
      <c r="D6" s="453" t="str">
        <f>CONCATENATE("Estimate for ",E1-1,"")</f>
        <v>Estimate for 2013</v>
      </c>
      <c r="E6" s="300" t="str">
        <f>CONCATENATE("Year for ",E1,"")</f>
        <v>Year for 2014</v>
      </c>
    </row>
    <row r="7" spans="2:5">
      <c r="B7" s="147" t="s">
        <v>278</v>
      </c>
      <c r="C7" s="457"/>
      <c r="D7" s="459">
        <f>C51</f>
        <v>0</v>
      </c>
      <c r="E7" s="333">
        <f>D51</f>
        <v>0</v>
      </c>
    </row>
    <row r="8" spans="2:5">
      <c r="B8" s="334" t="s">
        <v>280</v>
      </c>
      <c r="C8" s="458"/>
      <c r="D8" s="459"/>
      <c r="E8" s="333"/>
    </row>
    <row r="9" spans="2:5">
      <c r="B9" s="147" t="s">
        <v>160</v>
      </c>
      <c r="C9" s="450"/>
      <c r="D9" s="456">
        <f>IF(inputPrYr!H17&gt;0,inputPrYr!H17,inputPrYr!E17)</f>
        <v>0</v>
      </c>
      <c r="E9" s="335" t="s">
        <v>148</v>
      </c>
    </row>
    <row r="10" spans="2:5">
      <c r="B10" s="147" t="s">
        <v>161</v>
      </c>
      <c r="C10" s="450"/>
      <c r="D10" s="450"/>
      <c r="E10" s="336"/>
    </row>
    <row r="11" spans="2:5">
      <c r="B11" s="147" t="s">
        <v>162</v>
      </c>
      <c r="C11" s="450"/>
      <c r="D11" s="450"/>
      <c r="E11" s="337" t="str">
        <f>mvalloc!E8</f>
        <v xml:space="preserve"> </v>
      </c>
    </row>
    <row r="12" spans="2:5">
      <c r="B12" s="147" t="s">
        <v>163</v>
      </c>
      <c r="C12" s="450"/>
      <c r="D12" s="450"/>
      <c r="E12" s="337" t="str">
        <f>mvalloc!F8</f>
        <v xml:space="preserve"> </v>
      </c>
    </row>
    <row r="13" spans="2:5">
      <c r="B13" s="338" t="s">
        <v>260</v>
      </c>
      <c r="C13" s="450"/>
      <c r="D13" s="450"/>
      <c r="E13" s="337" t="str">
        <f>mvalloc!G8</f>
        <v xml:space="preserve"> </v>
      </c>
    </row>
    <row r="14" spans="2:5">
      <c r="B14" s="339"/>
      <c r="C14" s="450"/>
      <c r="D14" s="450"/>
      <c r="E14" s="340"/>
    </row>
    <row r="15" spans="2:5">
      <c r="B15" s="339"/>
      <c r="C15" s="450"/>
      <c r="D15" s="450"/>
      <c r="E15" s="336"/>
    </row>
    <row r="16" spans="2:5">
      <c r="B16" s="339"/>
      <c r="C16" s="450"/>
      <c r="D16" s="450"/>
      <c r="E16" s="336"/>
    </row>
    <row r="17" spans="2:5">
      <c r="B17" s="339"/>
      <c r="C17" s="450"/>
      <c r="D17" s="450"/>
      <c r="E17" s="336"/>
    </row>
    <row r="18" spans="2:5">
      <c r="B18" s="339"/>
      <c r="C18" s="450"/>
      <c r="D18" s="450"/>
      <c r="E18" s="336"/>
    </row>
    <row r="19" spans="2:5">
      <c r="B19" s="339"/>
      <c r="C19" s="450"/>
      <c r="D19" s="450"/>
      <c r="E19" s="336"/>
    </row>
    <row r="20" spans="2:5">
      <c r="B20" s="339"/>
      <c r="C20" s="450"/>
      <c r="D20" s="450"/>
      <c r="E20" s="336"/>
    </row>
    <row r="21" spans="2:5">
      <c r="B21" s="339"/>
      <c r="C21" s="450"/>
      <c r="D21" s="450"/>
      <c r="E21" s="336"/>
    </row>
    <row r="22" spans="2:5">
      <c r="B22" s="339" t="s">
        <v>330</v>
      </c>
      <c r="C22" s="450"/>
      <c r="D22" s="450"/>
      <c r="E22" s="336"/>
    </row>
    <row r="23" spans="2:5">
      <c r="B23" s="341" t="s">
        <v>167</v>
      </c>
      <c r="C23" s="450"/>
      <c r="D23" s="450"/>
      <c r="E23" s="336"/>
    </row>
    <row r="24" spans="2:5">
      <c r="B24" s="307" t="s">
        <v>75</v>
      </c>
      <c r="C24" s="450"/>
      <c r="D24" s="450"/>
      <c r="E24" s="336"/>
    </row>
    <row r="25" spans="2:5">
      <c r="B25" s="307" t="s">
        <v>76</v>
      </c>
      <c r="C25" s="451" t="str">
        <f>IF(C26*0.1&lt;C24,"Exceed 10% Rule","")</f>
        <v/>
      </c>
      <c r="D25" s="451" t="str">
        <f>IF(D26*0.1&lt;D24,"Exceed 10% Rule","")</f>
        <v/>
      </c>
      <c r="E25" s="342" t="str">
        <f>IF(E26*0.1+E57&lt;E24,"Exceed 10% Rule","")</f>
        <v/>
      </c>
    </row>
    <row r="26" spans="2:5">
      <c r="B26" s="309" t="s">
        <v>168</v>
      </c>
      <c r="C26" s="460">
        <f>SUM(C9:C24)</f>
        <v>0</v>
      </c>
      <c r="D26" s="461">
        <f>SUM(D9:D24)</f>
        <v>0</v>
      </c>
      <c r="E26" s="343">
        <f>SUM(E9:E24)</f>
        <v>0</v>
      </c>
    </row>
    <row r="27" spans="2:5">
      <c r="B27" s="309" t="s">
        <v>169</v>
      </c>
      <c r="C27" s="461">
        <f>C7+C26</f>
        <v>0</v>
      </c>
      <c r="D27" s="461">
        <f>D7+D26</f>
        <v>0</v>
      </c>
      <c r="E27" s="344">
        <f>E7+E26</f>
        <v>0</v>
      </c>
    </row>
    <row r="28" spans="2:5">
      <c r="B28" s="334" t="s">
        <v>172</v>
      </c>
      <c r="C28" s="458"/>
      <c r="D28" s="458"/>
      <c r="E28" s="337"/>
    </row>
    <row r="29" spans="2:5">
      <c r="B29" s="316"/>
      <c r="C29" s="450"/>
      <c r="D29" s="450"/>
      <c r="E29" s="336"/>
    </row>
    <row r="30" spans="2:5">
      <c r="B30" s="316"/>
      <c r="C30" s="450"/>
      <c r="D30" s="450"/>
      <c r="E30" s="336"/>
    </row>
    <row r="31" spans="2:5">
      <c r="B31" s="316"/>
      <c r="C31" s="450"/>
      <c r="D31" s="450"/>
      <c r="E31" s="336"/>
    </row>
    <row r="32" spans="2:5">
      <c r="B32" s="316"/>
      <c r="C32" s="450"/>
      <c r="D32" s="450"/>
      <c r="E32" s="336"/>
    </row>
    <row r="33" spans="2:10">
      <c r="B33" s="316"/>
      <c r="C33" s="450"/>
      <c r="D33" s="450"/>
      <c r="E33" s="336"/>
    </row>
    <row r="34" spans="2:10">
      <c r="B34" s="316"/>
      <c r="C34" s="450"/>
      <c r="D34" s="450"/>
      <c r="E34" s="336"/>
    </row>
    <row r="35" spans="2:10">
      <c r="B35" s="316"/>
      <c r="C35" s="450"/>
      <c r="D35" s="450"/>
      <c r="E35" s="336"/>
    </row>
    <row r="36" spans="2:10">
      <c r="B36" s="316"/>
      <c r="C36" s="450"/>
      <c r="D36" s="450"/>
      <c r="E36" s="336"/>
    </row>
    <row r="37" spans="2:10">
      <c r="B37" s="316"/>
      <c r="C37" s="450"/>
      <c r="D37" s="450"/>
      <c r="E37" s="336"/>
    </row>
    <row r="38" spans="2:10">
      <c r="B38" s="316"/>
      <c r="C38" s="450"/>
      <c r="D38" s="450"/>
      <c r="E38" s="336"/>
    </row>
    <row r="39" spans="2:10">
      <c r="B39" s="316"/>
      <c r="C39" s="450"/>
      <c r="D39" s="450"/>
      <c r="E39" s="336"/>
    </row>
    <row r="40" spans="2:10">
      <c r="B40" s="316"/>
      <c r="C40" s="450"/>
      <c r="D40" s="450"/>
      <c r="E40" s="336"/>
    </row>
    <row r="41" spans="2:10">
      <c r="B41" s="316"/>
      <c r="C41" s="450"/>
      <c r="D41" s="450"/>
      <c r="E41" s="336"/>
    </row>
    <row r="42" spans="2:10">
      <c r="B42" s="316"/>
      <c r="C42" s="450"/>
      <c r="D42" s="450"/>
      <c r="E42" s="336"/>
      <c r="G42" s="800" t="str">
        <f>CONCATENATE("Desired Carryover Into ",E1+1,"")</f>
        <v>Desired Carryover Into 2015</v>
      </c>
      <c r="H42" s="801"/>
      <c r="I42" s="801"/>
      <c r="J42" s="802"/>
    </row>
    <row r="43" spans="2:10">
      <c r="B43" s="316"/>
      <c r="C43" s="450"/>
      <c r="D43" s="450"/>
      <c r="E43" s="336"/>
      <c r="G43" s="648"/>
      <c r="H43" s="649"/>
      <c r="I43" s="650"/>
      <c r="J43" s="651"/>
    </row>
    <row r="44" spans="2:10">
      <c r="B44" s="316"/>
      <c r="C44" s="450"/>
      <c r="D44" s="450"/>
      <c r="E44" s="336"/>
      <c r="G44" s="652" t="s">
        <v>688</v>
      </c>
      <c r="H44" s="650"/>
      <c r="I44" s="650"/>
      <c r="J44" s="653">
        <v>0</v>
      </c>
    </row>
    <row r="45" spans="2:10">
      <c r="B45" s="316"/>
      <c r="C45" s="450"/>
      <c r="D45" s="450"/>
      <c r="E45" s="336"/>
      <c r="G45" s="648" t="s">
        <v>689</v>
      </c>
      <c r="H45" s="649"/>
      <c r="I45" s="649"/>
      <c r="J45" s="654" t="str">
        <f>IF(J44=0,"",ROUND((J44+E57-G57)/inputOth!E6*1000,3)-G62)</f>
        <v/>
      </c>
    </row>
    <row r="46" spans="2:10">
      <c r="B46" s="316"/>
      <c r="C46" s="450"/>
      <c r="D46" s="450"/>
      <c r="E46" s="336"/>
      <c r="G46" s="655" t="str">
        <f>CONCATENATE("",E1," Tot Exp/Non-Appr Must Be:")</f>
        <v>2014 Tot Exp/Non-Appr Must Be:</v>
      </c>
      <c r="H46" s="656"/>
      <c r="I46" s="657"/>
      <c r="J46" s="658">
        <f>IF(J44&gt;0,IF(E54&lt;E27,IF(J44=G57,E54,((J44-G57)*(1-D56))+E27),E54+(J44-G57)),0)</f>
        <v>0</v>
      </c>
    </row>
    <row r="47" spans="2:10">
      <c r="B47" s="307" t="s">
        <v>77</v>
      </c>
      <c r="C47" s="450"/>
      <c r="D47" s="450"/>
      <c r="E47" s="317" t="str">
        <f>Nhood!E7</f>
        <v/>
      </c>
      <c r="G47" s="659" t="s">
        <v>840</v>
      </c>
      <c r="H47" s="660"/>
      <c r="I47" s="660"/>
      <c r="J47" s="661">
        <f>IF(J44&gt;0,J46-E54,0)</f>
        <v>0</v>
      </c>
    </row>
    <row r="48" spans="2:10">
      <c r="B48" s="307" t="s">
        <v>75</v>
      </c>
      <c r="C48" s="450"/>
      <c r="D48" s="450"/>
      <c r="E48" s="336"/>
    </row>
    <row r="49" spans="2:11">
      <c r="B49" s="307" t="s">
        <v>78</v>
      </c>
      <c r="C49" s="451" t="str">
        <f>IF(C50*0.1&lt;C48,"Exceed 10% Rule","")</f>
        <v/>
      </c>
      <c r="D49" s="451" t="str">
        <f>IF(D50*0.1&lt;D48,"Exceed 10% Rule","")</f>
        <v/>
      </c>
      <c r="E49" s="342" t="str">
        <f>IF(E50*0.1&lt;E48,"Exceed 10% Rule","")</f>
        <v/>
      </c>
      <c r="G49" s="794" t="str">
        <f>CONCATENATE("Projected Carryover Into ",E1+1,"")</f>
        <v>Projected Carryover Into 2015</v>
      </c>
      <c r="H49" s="801"/>
      <c r="I49" s="801"/>
      <c r="J49" s="802"/>
    </row>
    <row r="50" spans="2:11">
      <c r="B50" s="309" t="s">
        <v>173</v>
      </c>
      <c r="C50" s="460">
        <f>SUM(C29:C48)</f>
        <v>0</v>
      </c>
      <c r="D50" s="461">
        <f>SUM(D29:D48)</f>
        <v>0</v>
      </c>
      <c r="E50" s="343">
        <f>SUM(E29:E48)</f>
        <v>0</v>
      </c>
      <c r="G50" s="470"/>
      <c r="H50" s="497"/>
      <c r="I50" s="497"/>
      <c r="J50" s="662"/>
    </row>
    <row r="51" spans="2:11">
      <c r="B51" s="147" t="s">
        <v>279</v>
      </c>
      <c r="C51" s="462">
        <f>C27-C50</f>
        <v>0</v>
      </c>
      <c r="D51" s="462">
        <f>D27-D50</f>
        <v>0</v>
      </c>
      <c r="E51" s="335" t="s">
        <v>148</v>
      </c>
      <c r="G51" s="501">
        <f>D51</f>
        <v>0</v>
      </c>
      <c r="H51" s="499" t="str">
        <f>CONCATENATE("",E1-1," Ending Cash Balance (est.)")</f>
        <v>2013 Ending Cash Balance (est.)</v>
      </c>
      <c r="I51" s="498"/>
      <c r="J51" s="663"/>
    </row>
    <row r="52" spans="2:11">
      <c r="B52" s="285" t="str">
        <f>CONCATENATE("",E$1-2,"/",E$1-1," Budget Authority Amount:")</f>
        <v>2012/2013 Budget Authority Amount:</v>
      </c>
      <c r="C52" s="277">
        <f>inputOth!B31</f>
        <v>0</v>
      </c>
      <c r="D52" s="277">
        <f>inputPrYr!D17</f>
        <v>0</v>
      </c>
      <c r="E52" s="335" t="s">
        <v>148</v>
      </c>
      <c r="F52" s="345"/>
      <c r="G52" s="501">
        <f>E26</f>
        <v>0</v>
      </c>
      <c r="H52" s="497" t="str">
        <f>CONCATENATE("",E1," Non-AV Receipts (est.)")</f>
        <v>2014 Non-AV Receipts (est.)</v>
      </c>
      <c r="I52" s="497"/>
      <c r="J52" s="662"/>
    </row>
    <row r="53" spans="2:11">
      <c r="B53" s="285"/>
      <c r="C53" s="790" t="s">
        <v>685</v>
      </c>
      <c r="D53" s="791"/>
      <c r="E53" s="111"/>
      <c r="F53" s="468" t="str">
        <f>IF(E50/0.95-E50&lt;E53,"Exceeds 5%","")</f>
        <v/>
      </c>
      <c r="G53" s="496">
        <f>IF(E56&gt;0,E55,E57)</f>
        <v>0</v>
      </c>
      <c r="H53" s="497" t="str">
        <f>CONCATENATE("",E1," Ad Valorem Tax (est.)")</f>
        <v>2014 Ad Valorem Tax (est.)</v>
      </c>
      <c r="I53" s="497"/>
      <c r="J53" s="662"/>
      <c r="K53" s="664" t="str">
        <f>IF(G53=E57,"","Note: Does not include Delinquent Taxes")</f>
        <v/>
      </c>
    </row>
    <row r="54" spans="2:11">
      <c r="B54" s="504" t="str">
        <f>CONCATENATE(C70,"     ",D70)</f>
        <v xml:space="preserve">     </v>
      </c>
      <c r="C54" s="792" t="s">
        <v>686</v>
      </c>
      <c r="D54" s="793"/>
      <c r="E54" s="263">
        <f>E50+E53</f>
        <v>0</v>
      </c>
      <c r="G54" s="501">
        <f>SUM(G51:G53)</f>
        <v>0</v>
      </c>
      <c r="H54" s="497" t="str">
        <f>CONCATENATE("Total ",E1," Resources Available")</f>
        <v>Total 2014 Resources Available</v>
      </c>
      <c r="I54" s="498"/>
      <c r="J54" s="663"/>
    </row>
    <row r="55" spans="2:11">
      <c r="B55" s="504" t="str">
        <f>CONCATENATE(C71,"     ",D71)</f>
        <v xml:space="preserve">     </v>
      </c>
      <c r="C55" s="319"/>
      <c r="D55" s="238" t="s">
        <v>174</v>
      </c>
      <c r="E55" s="119">
        <f>IF(E54-E27&gt;0,E54-E27,0)</f>
        <v>0</v>
      </c>
      <c r="G55" s="495"/>
      <c r="H55" s="497"/>
      <c r="I55" s="497"/>
      <c r="J55" s="662"/>
    </row>
    <row r="56" spans="2:11">
      <c r="B56" s="238"/>
      <c r="C56" s="502" t="s">
        <v>687</v>
      </c>
      <c r="D56" s="647">
        <f>inputOth!$E$23</f>
        <v>0.03</v>
      </c>
      <c r="E56" s="263">
        <f>ROUND(IF(D56&gt;0,(E55*D56),0),0)</f>
        <v>0</v>
      </c>
      <c r="G56" s="496">
        <f>C50</f>
        <v>0</v>
      </c>
      <c r="H56" s="497" t="str">
        <f>CONCATENATE("Less ",E1-2," Expenditures")</f>
        <v>Less 2012 Expenditures</v>
      </c>
      <c r="I56" s="497"/>
      <c r="J56" s="662"/>
    </row>
    <row r="57" spans="2:11">
      <c r="B57" s="84"/>
      <c r="C57" s="798" t="str">
        <f>CONCATENATE("Amount of  ",$E$1-1," Ad Valorem Tax")</f>
        <v>Amount of  2013 Ad Valorem Tax</v>
      </c>
      <c r="D57" s="799"/>
      <c r="E57" s="346">
        <f>E55+E56</f>
        <v>0</v>
      </c>
      <c r="G57" s="697">
        <f>G54-G56</f>
        <v>0</v>
      </c>
      <c r="H57" s="469" t="str">
        <f>CONCATENATE("Projected ",E1+1," carryover (est.)")</f>
        <v>Projected 2015 carryover (est.)</v>
      </c>
      <c r="I57" s="472"/>
      <c r="J57" s="665"/>
    </row>
    <row r="58" spans="2:11">
      <c r="B58" s="238"/>
      <c r="C58" s="84"/>
      <c r="D58" s="84"/>
      <c r="E58" s="84"/>
    </row>
    <row r="59" spans="2:11">
      <c r="B59" s="285" t="s">
        <v>188</v>
      </c>
      <c r="C59" s="347">
        <v>8</v>
      </c>
      <c r="D59" s="84"/>
      <c r="E59" s="84"/>
      <c r="G59" s="803" t="s">
        <v>841</v>
      </c>
      <c r="H59" s="804"/>
      <c r="I59" s="804"/>
      <c r="J59" s="805"/>
    </row>
    <row r="60" spans="2:11">
      <c r="G60" s="666"/>
      <c r="H60" s="667"/>
      <c r="I60" s="668"/>
      <c r="J60" s="669"/>
    </row>
    <row r="61" spans="2:11">
      <c r="G61" s="670" t="str">
        <f>summ!H17</f>
        <v xml:space="preserve">  </v>
      </c>
      <c r="H61" s="667" t="str">
        <f>CONCATENATE("",E1," Fund Mill Rate")</f>
        <v>2014 Fund Mill Rate</v>
      </c>
      <c r="I61" s="668"/>
      <c r="J61" s="669"/>
    </row>
    <row r="62" spans="2:11">
      <c r="G62" s="671" t="str">
        <f>summ!E17</f>
        <v xml:space="preserve">  </v>
      </c>
      <c r="H62" s="667" t="str">
        <f>CONCATENATE("",E1-1," Fund Mill Rate")</f>
        <v>2013 Fund Mill Rate</v>
      </c>
      <c r="I62" s="668"/>
      <c r="J62" s="669"/>
    </row>
    <row r="63" spans="2:11">
      <c r="G63" s="672">
        <f>summ!H61</f>
        <v>56.5124</v>
      </c>
      <c r="H63" s="667" t="str">
        <f>CONCATENATE("Total ",E1," Mill Rate")</f>
        <v>Total 2014 Mill Rate</v>
      </c>
      <c r="I63" s="668"/>
      <c r="J63" s="669"/>
    </row>
    <row r="64" spans="2:11">
      <c r="G64" s="671">
        <f>summ!E61</f>
        <v>63.972000000000008</v>
      </c>
      <c r="H64" s="673" t="str">
        <f>CONCATENATE("Total ",E1-1," Mill Rate")</f>
        <v>Total 2013 Mill Rate</v>
      </c>
      <c r="I64" s="674"/>
      <c r="J64" s="675"/>
    </row>
    <row r="70" spans="3:4" hidden="1">
      <c r="C70" s="142" t="str">
        <f>IF(C50&gt;C52,"SeeTab A","")</f>
        <v/>
      </c>
      <c r="D70" s="142" t="str">
        <f>IF(D50&gt;D52,"See Tab C","")</f>
        <v/>
      </c>
    </row>
    <row r="71" spans="3:4" hidden="1">
      <c r="C71" s="142" t="str">
        <f>IF(C51&lt;0,"See Tab B","")</f>
        <v/>
      </c>
      <c r="D71" s="142" t="str">
        <f>IF(D51&lt;0,"See Tab D","")</f>
        <v/>
      </c>
    </row>
  </sheetData>
  <sheetProtection sheet="1"/>
  <mergeCells count="6">
    <mergeCell ref="G59:J59"/>
    <mergeCell ref="C53:D53"/>
    <mergeCell ref="C54:D54"/>
    <mergeCell ref="C57:D57"/>
    <mergeCell ref="G42:J42"/>
    <mergeCell ref="G49:J49"/>
  </mergeCells>
  <phoneticPr fontId="8" type="noConversion"/>
  <conditionalFormatting sqref="E48">
    <cfRule type="cellIs" dxfId="396" priority="2" stopIfTrue="1" operator="greaterThan">
      <formula>$E$50*0.1</formula>
    </cfRule>
  </conditionalFormatting>
  <conditionalFormatting sqref="E53">
    <cfRule type="cellIs" dxfId="395" priority="3" stopIfTrue="1" operator="greaterThan">
      <formula>$E$50/0.95-$E$50</formula>
    </cfRule>
  </conditionalFormatting>
  <conditionalFormatting sqref="C51">
    <cfRule type="cellIs" dxfId="394" priority="4" stopIfTrue="1" operator="lessThan">
      <formula>0</formula>
    </cfRule>
  </conditionalFormatting>
  <conditionalFormatting sqref="C50">
    <cfRule type="cellIs" dxfId="393" priority="5" stopIfTrue="1" operator="greaterThan">
      <formula>$C$52</formula>
    </cfRule>
  </conditionalFormatting>
  <conditionalFormatting sqref="D50">
    <cfRule type="cellIs" dxfId="392" priority="6" stopIfTrue="1" operator="greaterThan">
      <formula>$D$52</formula>
    </cfRule>
  </conditionalFormatting>
  <conditionalFormatting sqref="C24">
    <cfRule type="cellIs" dxfId="391" priority="7" stopIfTrue="1" operator="greaterThan">
      <formula>$C$26*0.1</formula>
    </cfRule>
  </conditionalFormatting>
  <conditionalFormatting sqref="D24">
    <cfRule type="cellIs" dxfId="390" priority="8" stopIfTrue="1" operator="greaterThan">
      <formula>$D$26*0.1</formula>
    </cfRule>
  </conditionalFormatting>
  <conditionalFormatting sqref="E24">
    <cfRule type="cellIs" dxfId="389" priority="9" stopIfTrue="1" operator="greaterThan">
      <formula>$E$26*0.1+E57</formula>
    </cfRule>
  </conditionalFormatting>
  <conditionalFormatting sqref="C48">
    <cfRule type="cellIs" dxfId="388" priority="10" stopIfTrue="1" operator="greaterThan">
      <formula>$C$50*0.1</formula>
    </cfRule>
  </conditionalFormatting>
  <conditionalFormatting sqref="D48">
    <cfRule type="cellIs" dxfId="387" priority="11" stopIfTrue="1" operator="greaterThan">
      <formula>$D$50*0.1</formula>
    </cfRule>
  </conditionalFormatting>
  <conditionalFormatting sqref="D51">
    <cfRule type="cellIs" dxfId="386" priority="1" stopIfTrue="1" operator="lessThan">
      <formula>0</formula>
    </cfRule>
  </conditionalFormatting>
  <pageMargins left="0.75" right="0.75" top="1" bottom="1" header="0.5" footer="0.5"/>
  <pageSetup scale="70" orientation="portrait" blackAndWhite="1" r:id="rId1"/>
  <headerFooter alignWithMargins="0">
    <oddHeader>&amp;RState of Kansas
County</oddHeader>
  </headerFooter>
</worksheet>
</file>

<file path=xl/worksheets/sheet16.xml><?xml version="1.0" encoding="utf-8"?>
<worksheet xmlns="http://schemas.openxmlformats.org/spreadsheetml/2006/main" xmlns:r="http://schemas.openxmlformats.org/officeDocument/2006/relationships">
  <dimension ref="B1:K130"/>
  <sheetViews>
    <sheetView topLeftCell="A55" zoomScaleNormal="100" workbookViewId="0">
      <selection activeCell="E121" sqref="E121:E122"/>
    </sheetView>
  </sheetViews>
  <sheetFormatPr defaultRowHeight="15.75"/>
  <cols>
    <col min="1" max="1" width="2.44140625" style="71" customWidth="1"/>
    <col min="2" max="2" width="31.109375" style="71" customWidth="1"/>
    <col min="3" max="4" width="15.77734375" style="71" customWidth="1"/>
    <col min="5" max="5" width="16.2187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84"/>
      <c r="D3" s="84"/>
      <c r="E3" s="298"/>
    </row>
    <row r="4" spans="2:5">
      <c r="B4" s="299" t="s">
        <v>159</v>
      </c>
      <c r="C4" s="701" t="s">
        <v>842</v>
      </c>
      <c r="D4" s="702" t="s">
        <v>843</v>
      </c>
      <c r="E4" s="214" t="s">
        <v>844</v>
      </c>
    </row>
    <row r="5" spans="2:5">
      <c r="B5" s="482" t="str">
        <f>inputPrYr!B18</f>
        <v>Road &amp; Bridge</v>
      </c>
      <c r="C5" s="453" t="str">
        <f>CONCATENATE("Actual for ",E1-2,"")</f>
        <v>Actual for 2012</v>
      </c>
      <c r="D5" s="453" t="str">
        <f>CONCATENATE("Estimate for ",E1-1,"")</f>
        <v>Estimate for 2013</v>
      </c>
      <c r="E5" s="300" t="str">
        <f>CONCATENATE("Year for ",E1,"")</f>
        <v>Year for 2014</v>
      </c>
    </row>
    <row r="6" spans="2:5">
      <c r="B6" s="301" t="s">
        <v>278</v>
      </c>
      <c r="C6" s="450">
        <v>252000</v>
      </c>
      <c r="D6" s="454">
        <f>C112</f>
        <v>513449</v>
      </c>
      <c r="E6" s="263">
        <f>D112</f>
        <v>580067</v>
      </c>
    </row>
    <row r="7" spans="2:5">
      <c r="B7" s="288" t="s">
        <v>280</v>
      </c>
      <c r="C7" s="303"/>
      <c r="D7" s="303"/>
      <c r="E7" s="126"/>
    </row>
    <row r="8" spans="2:5">
      <c r="B8" s="301" t="s">
        <v>160</v>
      </c>
      <c r="C8" s="450">
        <v>3564853</v>
      </c>
      <c r="D8" s="454">
        <f>IF(inputPrYr!H18&gt;0,inputPrYr!H18,inputPrYr!E18)-203825</f>
        <v>4126408</v>
      </c>
      <c r="E8" s="219" t="s">
        <v>148</v>
      </c>
    </row>
    <row r="9" spans="2:5">
      <c r="B9" s="301" t="s">
        <v>161</v>
      </c>
      <c r="C9" s="450">
        <v>66727</v>
      </c>
      <c r="D9" s="450">
        <v>45000</v>
      </c>
      <c r="E9" s="304">
        <v>70000</v>
      </c>
    </row>
    <row r="10" spans="2:5">
      <c r="B10" s="301" t="s">
        <v>162</v>
      </c>
      <c r="C10" s="450">
        <v>379765</v>
      </c>
      <c r="D10" s="450">
        <v>476795</v>
      </c>
      <c r="E10" s="126">
        <f>mvalloc!E9</f>
        <v>458223.89</v>
      </c>
    </row>
    <row r="11" spans="2:5">
      <c r="B11" s="301" t="s">
        <v>163</v>
      </c>
      <c r="C11" s="450"/>
      <c r="D11" s="450"/>
      <c r="E11" s="126">
        <f>mvalloc!F9</f>
        <v>6481.95</v>
      </c>
    </row>
    <row r="12" spans="2:5">
      <c r="B12" s="303" t="s">
        <v>260</v>
      </c>
      <c r="C12" s="450"/>
      <c r="D12" s="450"/>
      <c r="E12" s="126">
        <f>mvalloc!G9</f>
        <v>19790.43</v>
      </c>
    </row>
    <row r="13" spans="2:5">
      <c r="B13" s="348" t="s">
        <v>7</v>
      </c>
      <c r="C13" s="450">
        <v>741481</v>
      </c>
      <c r="D13" s="450">
        <f>736050</f>
        <v>736050</v>
      </c>
      <c r="E13" s="146">
        <v>741481</v>
      </c>
    </row>
    <row r="14" spans="2:5">
      <c r="B14" s="348" t="s">
        <v>8</v>
      </c>
      <c r="C14" s="450"/>
      <c r="D14" s="450"/>
      <c r="E14" s="146"/>
    </row>
    <row r="15" spans="2:5">
      <c r="B15" s="348"/>
      <c r="C15" s="450"/>
      <c r="D15" s="450"/>
      <c r="E15" s="146"/>
    </row>
    <row r="16" spans="2:5">
      <c r="B16" s="349"/>
      <c r="C16" s="450"/>
      <c r="D16" s="450"/>
      <c r="E16" s="146"/>
    </row>
    <row r="17" spans="2:5">
      <c r="B17" s="305" t="s">
        <v>969</v>
      </c>
      <c r="C17" s="450">
        <v>17506</v>
      </c>
      <c r="D17" s="450">
        <v>10000</v>
      </c>
      <c r="E17" s="304">
        <v>10000</v>
      </c>
    </row>
    <row r="18" spans="2:5">
      <c r="B18" s="305" t="s">
        <v>970</v>
      </c>
      <c r="C18" s="450">
        <f>86937+257953+270547</f>
        <v>615437</v>
      </c>
      <c r="D18" s="450">
        <v>250000</v>
      </c>
      <c r="E18" s="304">
        <v>250000</v>
      </c>
    </row>
    <row r="19" spans="2:5">
      <c r="B19" s="305" t="s">
        <v>971</v>
      </c>
      <c r="C19" s="450">
        <f>640+34+37393</f>
        <v>38067</v>
      </c>
      <c r="D19" s="450">
        <v>500</v>
      </c>
      <c r="E19" s="304">
        <v>0</v>
      </c>
    </row>
    <row r="20" spans="2:5">
      <c r="B20" s="306"/>
      <c r="C20" s="450"/>
      <c r="D20" s="450"/>
      <c r="E20" s="304"/>
    </row>
    <row r="21" spans="2:5">
      <c r="B21" s="306"/>
      <c r="C21" s="450"/>
      <c r="D21" s="450"/>
      <c r="E21" s="304"/>
    </row>
    <row r="22" spans="2:5">
      <c r="B22" s="305"/>
      <c r="C22" s="450"/>
      <c r="D22" s="450"/>
      <c r="E22" s="304"/>
    </row>
    <row r="23" spans="2:5">
      <c r="B23" s="305"/>
      <c r="C23" s="450"/>
      <c r="D23" s="450"/>
      <c r="E23" s="304"/>
    </row>
    <row r="24" spans="2:5">
      <c r="B24" s="305"/>
      <c r="C24" s="450"/>
      <c r="D24" s="450"/>
      <c r="E24" s="304"/>
    </row>
    <row r="25" spans="2:5">
      <c r="B25" s="305"/>
      <c r="C25" s="450"/>
      <c r="D25" s="450"/>
      <c r="E25" s="304"/>
    </row>
    <row r="26" spans="2:5">
      <c r="B26" s="305"/>
      <c r="C26" s="450"/>
      <c r="D26" s="450"/>
      <c r="E26" s="304"/>
    </row>
    <row r="27" spans="2:5">
      <c r="B27" s="305"/>
      <c r="C27" s="450"/>
      <c r="D27" s="450"/>
      <c r="E27" s="304"/>
    </row>
    <row r="28" spans="2:5">
      <c r="B28" s="305"/>
      <c r="C28" s="450"/>
      <c r="D28" s="450"/>
      <c r="E28" s="304"/>
    </row>
    <row r="29" spans="2:5">
      <c r="B29" s="305"/>
      <c r="C29" s="450"/>
      <c r="D29" s="450"/>
      <c r="E29" s="304"/>
    </row>
    <row r="30" spans="2:5">
      <c r="B30" s="305"/>
      <c r="C30" s="450"/>
      <c r="D30" s="450"/>
      <c r="E30" s="304"/>
    </row>
    <row r="31" spans="2:5">
      <c r="B31" s="305"/>
      <c r="C31" s="450"/>
      <c r="D31" s="450"/>
      <c r="E31" s="304"/>
    </row>
    <row r="32" spans="2:5">
      <c r="B32" s="305"/>
      <c r="C32" s="450"/>
      <c r="D32" s="450"/>
      <c r="E32" s="304"/>
    </row>
    <row r="33" spans="2:5">
      <c r="B33" s="305"/>
      <c r="C33" s="450"/>
      <c r="D33" s="450"/>
      <c r="E33" s="304"/>
    </row>
    <row r="34" spans="2:5">
      <c r="B34" s="305"/>
      <c r="C34" s="450"/>
      <c r="D34" s="450"/>
      <c r="E34" s="304"/>
    </row>
    <row r="35" spans="2:5">
      <c r="B35" s="305"/>
      <c r="C35" s="450"/>
      <c r="D35" s="450"/>
      <c r="E35" s="304"/>
    </row>
    <row r="36" spans="2:5">
      <c r="B36" s="305"/>
      <c r="C36" s="450"/>
      <c r="D36" s="450"/>
      <c r="E36" s="304"/>
    </row>
    <row r="37" spans="2:5">
      <c r="B37" s="305"/>
      <c r="C37" s="450"/>
      <c r="D37" s="450"/>
      <c r="E37" s="304"/>
    </row>
    <row r="38" spans="2:5">
      <c r="B38" s="305"/>
      <c r="C38" s="450"/>
      <c r="D38" s="450"/>
      <c r="E38" s="304"/>
    </row>
    <row r="39" spans="2:5">
      <c r="B39" s="305"/>
      <c r="C39" s="450"/>
      <c r="D39" s="450"/>
      <c r="E39" s="304"/>
    </row>
    <row r="40" spans="2:5">
      <c r="B40" s="305"/>
      <c r="C40" s="450"/>
      <c r="D40" s="450"/>
      <c r="E40" s="304"/>
    </row>
    <row r="41" spans="2:5">
      <c r="B41" s="305"/>
      <c r="C41" s="450"/>
      <c r="D41" s="450"/>
      <c r="E41" s="304"/>
    </row>
    <row r="42" spans="2:5">
      <c r="B42" s="305"/>
      <c r="C42" s="450"/>
      <c r="D42" s="450"/>
      <c r="E42" s="304"/>
    </row>
    <row r="43" spans="2:5">
      <c r="B43" s="305"/>
      <c r="C43" s="450"/>
      <c r="D43" s="450"/>
      <c r="E43" s="304"/>
    </row>
    <row r="44" spans="2:5">
      <c r="B44" s="305"/>
      <c r="C44" s="450"/>
      <c r="D44" s="450"/>
      <c r="E44" s="304"/>
    </row>
    <row r="45" spans="2:5">
      <c r="B45" s="305"/>
      <c r="C45" s="450"/>
      <c r="D45" s="450"/>
      <c r="E45" s="304"/>
    </row>
    <row r="46" spans="2:5">
      <c r="B46" s="305"/>
      <c r="C46" s="450"/>
      <c r="D46" s="450"/>
      <c r="E46" s="304"/>
    </row>
    <row r="47" spans="2:5">
      <c r="B47" s="305"/>
      <c r="C47" s="450"/>
      <c r="D47" s="450"/>
      <c r="E47" s="304"/>
    </row>
    <row r="48" spans="2:5">
      <c r="B48" s="305"/>
      <c r="C48" s="450"/>
      <c r="D48" s="450"/>
      <c r="E48" s="304"/>
    </row>
    <row r="49" spans="2:5">
      <c r="B49" s="305"/>
      <c r="C49" s="450"/>
      <c r="D49" s="450"/>
      <c r="E49" s="304"/>
    </row>
    <row r="50" spans="2:5">
      <c r="B50" s="305"/>
      <c r="C50" s="450"/>
      <c r="D50" s="450"/>
      <c r="E50" s="304"/>
    </row>
    <row r="51" spans="2:5">
      <c r="B51" s="306" t="s">
        <v>167</v>
      </c>
      <c r="C51" s="450"/>
      <c r="D51" s="450"/>
      <c r="E51" s="304"/>
    </row>
    <row r="52" spans="2:5">
      <c r="B52" s="307" t="s">
        <v>75</v>
      </c>
      <c r="C52" s="450"/>
      <c r="D52" s="450"/>
      <c r="E52" s="304"/>
    </row>
    <row r="53" spans="2:5">
      <c r="B53" s="307" t="s">
        <v>682</v>
      </c>
      <c r="C53" s="451" t="str">
        <f>IF(C54*0.1&lt;C52,"Exceed 10% Rule","")</f>
        <v/>
      </c>
      <c r="D53" s="451" t="str">
        <f>IF(D54*0.1&lt;D52,"Exceed 10% Rule","")</f>
        <v/>
      </c>
      <c r="E53" s="342" t="str">
        <f>IF(E54*0.1+E118&lt;E52,"Exceed 10% Rule","")</f>
        <v/>
      </c>
    </row>
    <row r="54" spans="2:5">
      <c r="B54" s="309" t="s">
        <v>168</v>
      </c>
      <c r="C54" s="452">
        <f>SUM(C8:C52)</f>
        <v>5423836</v>
      </c>
      <c r="D54" s="452">
        <f>SUM(D8:D52)</f>
        <v>5644753</v>
      </c>
      <c r="E54" s="350">
        <f>SUM(E9:E52)</f>
        <v>1555977.27</v>
      </c>
    </row>
    <row r="55" spans="2:5">
      <c r="B55" s="309" t="s">
        <v>169</v>
      </c>
      <c r="C55" s="452">
        <f>C6+C54</f>
        <v>5675836</v>
      </c>
      <c r="D55" s="452">
        <f>D6+D54</f>
        <v>6158202</v>
      </c>
      <c r="E55" s="350">
        <f>E6+E54</f>
        <v>2136044.27</v>
      </c>
    </row>
    <row r="56" spans="2:5">
      <c r="B56" s="84"/>
      <c r="C56" s="226"/>
      <c r="D56" s="226"/>
      <c r="E56" s="226"/>
    </row>
    <row r="57" spans="2:5">
      <c r="B57" s="285" t="s">
        <v>188</v>
      </c>
      <c r="C57" s="347">
        <v>9</v>
      </c>
      <c r="D57" s="96"/>
      <c r="E57" s="96"/>
    </row>
    <row r="58" spans="2:5">
      <c r="B58" s="96"/>
      <c r="C58" s="96"/>
      <c r="D58" s="96"/>
      <c r="E58" s="96"/>
    </row>
    <row r="59" spans="2:5">
      <c r="B59" s="226" t="str">
        <f>inputPrYr!C2</f>
        <v>Lyon County</v>
      </c>
      <c r="C59" s="226"/>
      <c r="D59" s="226"/>
      <c r="E59" s="284">
        <f>inputPrYr!C4</f>
        <v>2014</v>
      </c>
    </row>
    <row r="60" spans="2:5">
      <c r="B60" s="84"/>
      <c r="C60" s="226"/>
      <c r="D60" s="226"/>
      <c r="E60" s="238"/>
    </row>
    <row r="61" spans="2:5">
      <c r="B61" s="311" t="s">
        <v>234</v>
      </c>
      <c r="C61" s="312"/>
      <c r="D61" s="312"/>
      <c r="E61" s="312"/>
    </row>
    <row r="62" spans="2:5">
      <c r="B62" s="84" t="s">
        <v>159</v>
      </c>
      <c r="C62" s="701" t="s">
        <v>842</v>
      </c>
      <c r="D62" s="702" t="s">
        <v>843</v>
      </c>
      <c r="E62" s="214" t="s">
        <v>844</v>
      </c>
    </row>
    <row r="63" spans="2:5">
      <c r="B63" s="152" t="str">
        <f>B5</f>
        <v>Road &amp; Bridge</v>
      </c>
      <c r="C63" s="453" t="str">
        <f>CONCATENATE("Actual for ",E59-2,"")</f>
        <v>Actual for 2012</v>
      </c>
      <c r="D63" s="453" t="str">
        <f>CONCATENATE("Estimate for ",E59-1,"")</f>
        <v>Estimate for 2013</v>
      </c>
      <c r="E63" s="300" t="str">
        <f>CONCATENATE("Year for ",E59,"")</f>
        <v>Year for 2014</v>
      </c>
    </row>
    <row r="64" spans="2:5">
      <c r="B64" s="309" t="s">
        <v>169</v>
      </c>
      <c r="C64" s="454">
        <f>C55</f>
        <v>5675836</v>
      </c>
      <c r="D64" s="454">
        <f>D55</f>
        <v>6158202</v>
      </c>
      <c r="E64" s="263">
        <f>E55</f>
        <v>2136044.27</v>
      </c>
    </row>
    <row r="65" spans="2:5">
      <c r="B65" s="301" t="s">
        <v>9</v>
      </c>
      <c r="C65" s="303"/>
      <c r="D65" s="303"/>
      <c r="E65" s="126"/>
    </row>
    <row r="66" spans="2:5">
      <c r="B66" s="303" t="str">
        <f>IF((RoadDetail!$A7&gt;" "),(RoadDetail!$A7)," ")</f>
        <v xml:space="preserve"> </v>
      </c>
      <c r="C66" s="454">
        <f>RoadDetail!$B12</f>
        <v>0</v>
      </c>
      <c r="D66" s="454">
        <f>RoadDetail!$C12</f>
        <v>0</v>
      </c>
      <c r="E66" s="263">
        <f>RoadDetail!$D12</f>
        <v>0</v>
      </c>
    </row>
    <row r="67" spans="2:5">
      <c r="B67" s="303" t="str">
        <f>IF((RoadDetail!$A13&gt;" "),(RoadDetail!$A13)," ")</f>
        <v xml:space="preserve"> </v>
      </c>
      <c r="C67" s="454">
        <f>RoadDetail!$B18</f>
        <v>0</v>
      </c>
      <c r="D67" s="454">
        <f>RoadDetail!$C18</f>
        <v>0</v>
      </c>
      <c r="E67" s="263">
        <f>RoadDetail!$D18</f>
        <v>0</v>
      </c>
    </row>
    <row r="68" spans="2:5">
      <c r="B68" s="303" t="str">
        <f>IF((RoadDetail!$A19&gt;" "),(RoadDetail!$A19)," ")</f>
        <v xml:space="preserve"> </v>
      </c>
      <c r="C68" s="454">
        <f>RoadDetail!$B24</f>
        <v>0</v>
      </c>
      <c r="D68" s="454">
        <f>RoadDetail!$C24</f>
        <v>0</v>
      </c>
      <c r="E68" s="263">
        <f>RoadDetail!$D24</f>
        <v>0</v>
      </c>
    </row>
    <row r="69" spans="2:5">
      <c r="B69" s="303" t="str">
        <f>IF((RoadDetail!$A25&gt;" "),(RoadDetail!$A25)," ")</f>
        <v xml:space="preserve"> </v>
      </c>
      <c r="C69" s="454">
        <f>RoadDetail!$B30</f>
        <v>0</v>
      </c>
      <c r="D69" s="454">
        <f>RoadDetail!$C30</f>
        <v>0</v>
      </c>
      <c r="E69" s="263">
        <f>RoadDetail!$D30</f>
        <v>0</v>
      </c>
    </row>
    <row r="70" spans="2:5">
      <c r="B70" s="303" t="str">
        <f>IF((RoadDetail!$A31&gt;" "),(RoadDetail!$A31)," ")</f>
        <v xml:space="preserve"> </v>
      </c>
      <c r="C70" s="454">
        <f>RoadDetail!$B36</f>
        <v>0</v>
      </c>
      <c r="D70" s="454">
        <f>RoadDetail!$C36</f>
        <v>0</v>
      </c>
      <c r="E70" s="263">
        <f>RoadDetail!$D36</f>
        <v>0</v>
      </c>
    </row>
    <row r="71" spans="2:5">
      <c r="B71" s="303" t="str">
        <f>IF((RoadDetail!$A37&gt;" "),(RoadDetail!$A37)," ")</f>
        <v xml:space="preserve"> </v>
      </c>
      <c r="C71" s="454">
        <f>RoadDetail!$B42</f>
        <v>0</v>
      </c>
      <c r="D71" s="454">
        <f>RoadDetail!$C42</f>
        <v>0</v>
      </c>
      <c r="E71" s="263">
        <f>RoadDetail!$D42</f>
        <v>0</v>
      </c>
    </row>
    <row r="72" spans="2:5">
      <c r="B72" s="314" t="s">
        <v>30</v>
      </c>
      <c r="C72" s="483">
        <f>SUM(C66:C71)</f>
        <v>0</v>
      </c>
      <c r="D72" s="483">
        <f>SUM(D66:D71)</f>
        <v>0</v>
      </c>
      <c r="E72" s="346">
        <f>SUM(E66:E71)</f>
        <v>0</v>
      </c>
    </row>
    <row r="73" spans="2:5">
      <c r="B73" s="352" t="s">
        <v>972</v>
      </c>
      <c r="C73" s="450">
        <v>2438996</v>
      </c>
      <c r="D73" s="450">
        <v>2620000</v>
      </c>
      <c r="E73" s="146">
        <v>2771504</v>
      </c>
    </row>
    <row r="74" spans="2:5">
      <c r="B74" s="352" t="s">
        <v>973</v>
      </c>
      <c r="C74" s="450">
        <v>212494</v>
      </c>
      <c r="D74" s="450">
        <v>200000</v>
      </c>
      <c r="E74" s="146">
        <v>273450</v>
      </c>
    </row>
    <row r="75" spans="2:5">
      <c r="B75" s="352" t="s">
        <v>974</v>
      </c>
      <c r="C75" s="450">
        <v>2501137</v>
      </c>
      <c r="D75" s="450">
        <v>2750000</v>
      </c>
      <c r="E75" s="146">
        <v>2751627</v>
      </c>
    </row>
    <row r="76" spans="2:5">
      <c r="B76" s="352" t="s">
        <v>975</v>
      </c>
      <c r="C76" s="450">
        <v>9760</v>
      </c>
      <c r="D76" s="450">
        <v>8135</v>
      </c>
      <c r="E76" s="146">
        <v>783</v>
      </c>
    </row>
    <row r="77" spans="2:5">
      <c r="B77" s="352" t="s">
        <v>976</v>
      </c>
      <c r="C77" s="450"/>
      <c r="D77" s="450"/>
      <c r="E77" s="146"/>
    </row>
    <row r="78" spans="2:5">
      <c r="B78" s="352"/>
      <c r="C78" s="450"/>
      <c r="D78" s="450"/>
      <c r="E78" s="146"/>
    </row>
    <row r="79" spans="2:5">
      <c r="B79" s="352"/>
      <c r="C79" s="450"/>
      <c r="D79" s="450"/>
      <c r="E79" s="146"/>
    </row>
    <row r="80" spans="2:5">
      <c r="B80" s="352"/>
      <c r="C80" s="450"/>
      <c r="D80" s="450"/>
      <c r="E80" s="146"/>
    </row>
    <row r="81" spans="2:5">
      <c r="B81" s="352"/>
      <c r="C81" s="450"/>
      <c r="D81" s="450"/>
      <c r="E81" s="146"/>
    </row>
    <row r="82" spans="2:5">
      <c r="B82" s="352"/>
      <c r="C82" s="450"/>
      <c r="D82" s="450"/>
      <c r="E82" s="146"/>
    </row>
    <row r="83" spans="2:5">
      <c r="B83" s="352"/>
      <c r="C83" s="450"/>
      <c r="D83" s="450"/>
      <c r="E83" s="146"/>
    </row>
    <row r="84" spans="2:5">
      <c r="B84" s="352"/>
      <c r="C84" s="450"/>
      <c r="D84" s="450"/>
      <c r="E84" s="146"/>
    </row>
    <row r="85" spans="2:5">
      <c r="B85" s="352"/>
      <c r="C85" s="450"/>
      <c r="D85" s="450"/>
      <c r="E85" s="146"/>
    </row>
    <row r="86" spans="2:5">
      <c r="B86" s="352"/>
      <c r="C86" s="450"/>
      <c r="D86" s="450"/>
      <c r="E86" s="146"/>
    </row>
    <row r="87" spans="2:5" hidden="1">
      <c r="B87" s="352"/>
      <c r="C87" s="450"/>
      <c r="D87" s="450"/>
      <c r="E87" s="146"/>
    </row>
    <row r="88" spans="2:5" hidden="1">
      <c r="B88" s="352"/>
      <c r="C88" s="450"/>
      <c r="D88" s="450"/>
      <c r="E88" s="146"/>
    </row>
    <row r="89" spans="2:5" hidden="1">
      <c r="B89" s="352"/>
      <c r="C89" s="450"/>
      <c r="D89" s="450"/>
      <c r="E89" s="146"/>
    </row>
    <row r="90" spans="2:5" hidden="1">
      <c r="B90" s="352"/>
      <c r="C90" s="450"/>
      <c r="D90" s="450"/>
      <c r="E90" s="146"/>
    </row>
    <row r="91" spans="2:5" hidden="1">
      <c r="B91" s="352"/>
      <c r="C91" s="450"/>
      <c r="D91" s="450"/>
      <c r="E91" s="146"/>
    </row>
    <row r="92" spans="2:5" hidden="1">
      <c r="B92" s="352"/>
      <c r="C92" s="450"/>
      <c r="D92" s="450"/>
      <c r="E92" s="146"/>
    </row>
    <row r="93" spans="2:5">
      <c r="B93" s="352"/>
      <c r="C93" s="450"/>
      <c r="D93" s="450"/>
      <c r="E93" s="146"/>
    </row>
    <row r="94" spans="2:5">
      <c r="B94" s="352"/>
      <c r="C94" s="450"/>
      <c r="D94" s="450"/>
      <c r="E94" s="146"/>
    </row>
    <row r="95" spans="2:5">
      <c r="B95" s="352"/>
      <c r="C95" s="450"/>
      <c r="D95" s="450"/>
      <c r="E95" s="146"/>
    </row>
    <row r="96" spans="2:5">
      <c r="B96" s="352"/>
      <c r="C96" s="450"/>
      <c r="D96" s="450"/>
      <c r="E96" s="146"/>
    </row>
    <row r="97" spans="2:10">
      <c r="B97" s="352"/>
      <c r="C97" s="450"/>
      <c r="D97" s="450"/>
      <c r="E97" s="146"/>
    </row>
    <row r="98" spans="2:10">
      <c r="B98" s="352"/>
      <c r="C98" s="450"/>
      <c r="D98" s="450"/>
      <c r="E98" s="146"/>
    </row>
    <row r="99" spans="2:10">
      <c r="B99" s="352"/>
      <c r="C99" s="450"/>
      <c r="D99" s="450"/>
      <c r="E99" s="146"/>
    </row>
    <row r="100" spans="2:10">
      <c r="B100" s="352"/>
      <c r="C100" s="450"/>
      <c r="D100" s="450"/>
      <c r="E100" s="146"/>
    </row>
    <row r="101" spans="2:10">
      <c r="B101" s="352"/>
      <c r="C101" s="450"/>
      <c r="D101" s="450"/>
      <c r="E101" s="146"/>
    </row>
    <row r="102" spans="2:10">
      <c r="B102" s="352"/>
      <c r="C102" s="450"/>
      <c r="D102" s="450"/>
      <c r="E102" s="146"/>
    </row>
    <row r="103" spans="2:10">
      <c r="B103" s="352"/>
      <c r="C103" s="450"/>
      <c r="D103" s="450"/>
      <c r="E103" s="146"/>
      <c r="G103" s="800" t="str">
        <f>CONCATENATE("Desired Carryover Into ",E1+1,"")</f>
        <v>Desired Carryover Into 2015</v>
      </c>
      <c r="H103" s="801"/>
      <c r="I103" s="801"/>
      <c r="J103" s="802"/>
    </row>
    <row r="104" spans="2:10">
      <c r="B104" s="352"/>
      <c r="C104" s="450"/>
      <c r="D104" s="450"/>
      <c r="E104" s="146"/>
      <c r="G104" s="648"/>
      <c r="H104" s="649"/>
      <c r="I104" s="650"/>
      <c r="J104" s="651"/>
    </row>
    <row r="105" spans="2:10">
      <c r="B105" s="352"/>
      <c r="C105" s="450"/>
      <c r="D105" s="450"/>
      <c r="E105" s="146"/>
      <c r="G105" s="652" t="s">
        <v>688</v>
      </c>
      <c r="H105" s="650"/>
      <c r="I105" s="650"/>
      <c r="J105" s="653">
        <v>0</v>
      </c>
    </row>
    <row r="106" spans="2:10">
      <c r="B106" s="352"/>
      <c r="C106" s="450"/>
      <c r="D106" s="450"/>
      <c r="E106" s="146"/>
      <c r="G106" s="648" t="s">
        <v>689</v>
      </c>
      <c r="H106" s="649"/>
      <c r="I106" s="649"/>
      <c r="J106" s="654" t="str">
        <f>IF(J105=0,"",ROUND((J105+E118-G118)/inputOth!E6*1000,3)-G123)</f>
        <v/>
      </c>
    </row>
    <row r="107" spans="2:10">
      <c r="B107" s="316"/>
      <c r="C107" s="450"/>
      <c r="D107" s="450"/>
      <c r="E107" s="304"/>
      <c r="G107" s="655" t="str">
        <f>CONCATENATE("",E1," Tot Exp/Non-Appr Must Be:")</f>
        <v>2014 Tot Exp/Non-Appr Must Be:</v>
      </c>
      <c r="H107" s="656"/>
      <c r="I107" s="657"/>
      <c r="J107" s="658">
        <f>IF(J105&gt;0,IF(E115&lt;E55,IF(J105=G118,E115,((J105-G118)*(1-D117))+E55),E115+(J105-G118)),0)</f>
        <v>0</v>
      </c>
    </row>
    <row r="108" spans="2:10">
      <c r="B108" s="307" t="s">
        <v>77</v>
      </c>
      <c r="C108" s="450"/>
      <c r="D108" s="450"/>
      <c r="E108" s="317" t="str">
        <f>Nhood!E8</f>
        <v/>
      </c>
      <c r="G108" s="659" t="s">
        <v>840</v>
      </c>
      <c r="H108" s="660"/>
      <c r="I108" s="660"/>
      <c r="J108" s="661">
        <f>IF(J105&gt;0,J107-E115,0)</f>
        <v>0</v>
      </c>
    </row>
    <row r="109" spans="2:10">
      <c r="B109" s="307" t="s">
        <v>75</v>
      </c>
      <c r="C109" s="450"/>
      <c r="D109" s="450"/>
      <c r="E109" s="304"/>
    </row>
    <row r="110" spans="2:10">
      <c r="B110" s="307" t="s">
        <v>681</v>
      </c>
      <c r="C110" s="451" t="str">
        <f>IF(C111*0.1&lt;C109,"Exceed 10% Rule","")</f>
        <v/>
      </c>
      <c r="D110" s="451" t="str">
        <f>IF(D111*0.1&lt;D109,"Exceed 10% Rule","")</f>
        <v/>
      </c>
      <c r="E110" s="342" t="str">
        <f>IF(E111*0.1&lt;E109,"Exceed 10% Rule","")</f>
        <v/>
      </c>
      <c r="G110" s="794" t="str">
        <f>CONCATENATE("Projected Carryover Into ",E1+1,"")</f>
        <v>Projected Carryover Into 2015</v>
      </c>
      <c r="H110" s="795"/>
      <c r="I110" s="795"/>
      <c r="J110" s="796"/>
    </row>
    <row r="111" spans="2:10">
      <c r="B111" s="309" t="s">
        <v>173</v>
      </c>
      <c r="C111" s="452">
        <f>SUM(C72:C109)</f>
        <v>5162387</v>
      </c>
      <c r="D111" s="452">
        <f>SUM(D72:D109)</f>
        <v>5578135</v>
      </c>
      <c r="E111" s="350">
        <f>SUM(E72:E109)</f>
        <v>5797364</v>
      </c>
      <c r="G111" s="515"/>
      <c r="H111" s="514"/>
      <c r="I111" s="514"/>
      <c r="J111" s="516"/>
    </row>
    <row r="112" spans="2:10">
      <c r="B112" s="147" t="s">
        <v>279</v>
      </c>
      <c r="C112" s="455">
        <f>C55-C111</f>
        <v>513449</v>
      </c>
      <c r="D112" s="455">
        <f>D55-D111</f>
        <v>580067</v>
      </c>
      <c r="E112" s="219" t="s">
        <v>148</v>
      </c>
      <c r="G112" s="501">
        <f>D112</f>
        <v>580067</v>
      </c>
      <c r="H112" s="499" t="str">
        <f>CONCATENATE("",E1-1," Ending Cash Balance (est.)")</f>
        <v>2013 Ending Cash Balance (est.)</v>
      </c>
      <c r="I112" s="498"/>
      <c r="J112" s="516"/>
    </row>
    <row r="113" spans="2:11">
      <c r="B113" s="285" t="str">
        <f>CONCATENATE("",E$1-2,"/",E$1-1," Budget Authority Amount:")</f>
        <v>2012/2013 Budget Authority Amount:</v>
      </c>
      <c r="C113" s="277">
        <f>inputOth!$B32</f>
        <v>5733860</v>
      </c>
      <c r="D113" s="277">
        <f>inputPrYr!D18</f>
        <v>5733860</v>
      </c>
      <c r="E113" s="219" t="s">
        <v>148</v>
      </c>
      <c r="F113" s="318"/>
      <c r="G113" s="501">
        <f>E54</f>
        <v>1555977.27</v>
      </c>
      <c r="H113" s="497" t="str">
        <f>CONCATENATE("",E1," Non-AV Receipts (est.)")</f>
        <v>2014 Non-AV Receipts (est.)</v>
      </c>
      <c r="I113" s="498"/>
      <c r="J113" s="516"/>
    </row>
    <row r="114" spans="2:11">
      <c r="B114" s="285"/>
      <c r="C114" s="790" t="s">
        <v>685</v>
      </c>
      <c r="D114" s="791"/>
      <c r="E114" s="111">
        <v>289868</v>
      </c>
      <c r="F114" s="500" t="str">
        <f>IF(E111/0.95-E111&lt;E114,"Exceeds 5%","")</f>
        <v/>
      </c>
      <c r="G114" s="496">
        <f>IF(E117&gt;0,E116,E118)</f>
        <v>3951187.73</v>
      </c>
      <c r="H114" s="497" t="str">
        <f>CONCATENATE("",E1," Ad Valorem Tax (est.)")</f>
        <v>2014 Ad Valorem Tax (est.)</v>
      </c>
      <c r="I114" s="498"/>
      <c r="J114" s="516"/>
      <c r="K114" s="664" t="str">
        <f>IF(G114=E118,"","Note: Does not include Delinquent Taxes")</f>
        <v>Note: Does not include Delinquent Taxes</v>
      </c>
    </row>
    <row r="115" spans="2:11">
      <c r="B115" s="504" t="str">
        <f>CONCATENATE(C129,"     ",D129)</f>
        <v xml:space="preserve">     </v>
      </c>
      <c r="C115" s="792" t="s">
        <v>686</v>
      </c>
      <c r="D115" s="793"/>
      <c r="E115" s="263">
        <f>E111+E114</f>
        <v>6087232</v>
      </c>
      <c r="G115" s="501">
        <f>SUM(G112:G114)</f>
        <v>6087232</v>
      </c>
      <c r="H115" s="497" t="str">
        <f>CONCATENATE("Total ",E1," Resources Available")</f>
        <v>Total 2014 Resources Available</v>
      </c>
      <c r="I115" s="498"/>
      <c r="J115" s="516"/>
    </row>
    <row r="116" spans="2:11">
      <c r="B116" s="504" t="str">
        <f>CONCATENATE(C130,"     ",D130)</f>
        <v xml:space="preserve">     </v>
      </c>
      <c r="C116" s="319"/>
      <c r="D116" s="238" t="s">
        <v>174</v>
      </c>
      <c r="E116" s="119">
        <f>IF(E115-E55&gt;0,E115-E55,0)</f>
        <v>3951187.73</v>
      </c>
      <c r="G116" s="495"/>
      <c r="H116" s="497"/>
      <c r="I116" s="497"/>
      <c r="J116" s="516"/>
    </row>
    <row r="117" spans="2:11">
      <c r="B117" s="285"/>
      <c r="C117" s="502" t="s">
        <v>687</v>
      </c>
      <c r="D117" s="647">
        <f>inputOth!$E$23</f>
        <v>0.03</v>
      </c>
      <c r="E117" s="263">
        <f>IF(D117&gt;0,(E116*D117),0)</f>
        <v>118535.63189999999</v>
      </c>
      <c r="G117" s="496">
        <f>C111*0.05+C111</f>
        <v>5420506.3499999996</v>
      </c>
      <c r="H117" s="497" t="str">
        <f>CONCATENATE("Less ",E1-2," Expenditures + 5%")</f>
        <v>Less 2012 Expenditures + 5%</v>
      </c>
      <c r="I117" s="498"/>
      <c r="J117" s="516"/>
    </row>
    <row r="118" spans="2:11">
      <c r="B118" s="84"/>
      <c r="C118" s="798" t="str">
        <f>CONCATENATE("Amount of  ",$E$1-1," Ad Valorem Tax")</f>
        <v>Amount of  2013 Ad Valorem Tax</v>
      </c>
      <c r="D118" s="799"/>
      <c r="E118" s="346">
        <f>E116+E117</f>
        <v>4069723.3618999999</v>
      </c>
      <c r="G118" s="494">
        <f>G115-G117</f>
        <v>666725.65000000037</v>
      </c>
      <c r="H118" s="493" t="str">
        <f>CONCATENATE("Projected ",E1," Carryover (est.)")</f>
        <v>Projected 2014 Carryover (est.)</v>
      </c>
      <c r="I118" s="472"/>
      <c r="J118" s="471"/>
    </row>
    <row r="119" spans="2:11">
      <c r="B119" s="84"/>
      <c r="C119" s="84"/>
      <c r="D119" s="84"/>
      <c r="E119" s="84"/>
    </row>
    <row r="120" spans="2:11">
      <c r="B120" s="96"/>
      <c r="C120" s="96" t="str">
        <f>CONCATENATE("Page No. ",C57,"a")</f>
        <v>Page No. 9a</v>
      </c>
      <c r="D120" s="351"/>
      <c r="E120" s="351"/>
      <c r="G120" s="803" t="s">
        <v>841</v>
      </c>
      <c r="H120" s="804"/>
      <c r="I120" s="804"/>
      <c r="J120" s="805"/>
    </row>
    <row r="121" spans="2:11">
      <c r="G121" s="666"/>
      <c r="H121" s="667"/>
      <c r="I121" s="668"/>
      <c r="J121" s="669"/>
    </row>
    <row r="122" spans="2:11">
      <c r="E122" s="382"/>
      <c r="G122" s="670">
        <f>summ!H18</f>
        <v>15.127700000000001</v>
      </c>
      <c r="H122" s="667" t="str">
        <f>CONCATENATE("",E1," Fund Mill Rate")</f>
        <v>2014 Fund Mill Rate</v>
      </c>
      <c r="I122" s="668"/>
      <c r="J122" s="669"/>
    </row>
    <row r="123" spans="2:11">
      <c r="E123" s="382"/>
      <c r="G123" s="671">
        <f>summ!E18</f>
        <v>18.420000000000002</v>
      </c>
      <c r="H123" s="667" t="str">
        <f>CONCATENATE("",E1-1," Fund Mill Rate")</f>
        <v>2013 Fund Mill Rate</v>
      </c>
      <c r="I123" s="668"/>
      <c r="J123" s="669"/>
    </row>
    <row r="124" spans="2:11">
      <c r="G124" s="672">
        <f>summ!H61</f>
        <v>56.5124</v>
      </c>
      <c r="H124" s="667" t="str">
        <f>CONCATENATE("Total ",E1," Mill Rate")</f>
        <v>Total 2014 Mill Rate</v>
      </c>
      <c r="I124" s="668"/>
      <c r="J124" s="669"/>
    </row>
    <row r="125" spans="2:11">
      <c r="G125" s="671">
        <f>summ!E61</f>
        <v>63.972000000000008</v>
      </c>
      <c r="H125" s="673" t="str">
        <f>CONCATENATE("Total ",E1-1," Mill Rate")</f>
        <v>Total 2013 Mill Rate</v>
      </c>
      <c r="I125" s="674"/>
      <c r="J125" s="675"/>
    </row>
    <row r="129" spans="3:4" hidden="1">
      <c r="C129" s="71" t="str">
        <f>IF(C111&gt;C113,"See Tab A","")</f>
        <v/>
      </c>
      <c r="D129" s="71" t="str">
        <f>IF(D111&gt;D113,"See Tab C","")</f>
        <v/>
      </c>
    </row>
    <row r="130" spans="3:4" hidden="1">
      <c r="C130" s="71" t="str">
        <f>IF(C112&lt;0,"See Tab B","")</f>
        <v/>
      </c>
      <c r="D130" s="71" t="str">
        <f>IF(D112&lt;0,"See Tab D","")</f>
        <v/>
      </c>
    </row>
  </sheetData>
  <mergeCells count="6">
    <mergeCell ref="G120:J120"/>
    <mergeCell ref="C114:D114"/>
    <mergeCell ref="C115:D115"/>
    <mergeCell ref="C118:D118"/>
    <mergeCell ref="G103:J103"/>
    <mergeCell ref="G110:J110"/>
  </mergeCells>
  <phoneticPr fontId="8" type="noConversion"/>
  <conditionalFormatting sqref="E109">
    <cfRule type="cellIs" dxfId="385" priority="2" stopIfTrue="1" operator="greaterThan">
      <formula>$E$111*0.1</formula>
    </cfRule>
  </conditionalFormatting>
  <conditionalFormatting sqref="E114">
    <cfRule type="cellIs" dxfId="384" priority="3" stopIfTrue="1" operator="greaterThan">
      <formula>$E$111/0.95-$E$111</formula>
    </cfRule>
  </conditionalFormatting>
  <conditionalFormatting sqref="C52">
    <cfRule type="cellIs" dxfId="383" priority="4" stopIfTrue="1" operator="greaterThan">
      <formula>$C$54*0.1</formula>
    </cfRule>
  </conditionalFormatting>
  <conditionalFormatting sqref="D52">
    <cfRule type="cellIs" dxfId="382" priority="5" stopIfTrue="1" operator="greaterThan">
      <formula>$D$54*0.1</formula>
    </cfRule>
  </conditionalFormatting>
  <conditionalFormatting sqref="E52">
    <cfRule type="cellIs" dxfId="381" priority="6" stopIfTrue="1" operator="greaterThan">
      <formula>$E$54*0.1+E118</formula>
    </cfRule>
  </conditionalFormatting>
  <conditionalFormatting sqref="C109">
    <cfRule type="cellIs" dxfId="380" priority="7" stopIfTrue="1" operator="greaterThan">
      <formula>$C$111*0.1</formula>
    </cfRule>
  </conditionalFormatting>
  <conditionalFormatting sqref="D109">
    <cfRule type="cellIs" dxfId="379" priority="8" stopIfTrue="1" operator="greaterThan">
      <formula>$D$111*0.1</formula>
    </cfRule>
  </conditionalFormatting>
  <conditionalFormatting sqref="C111">
    <cfRule type="cellIs" dxfId="378" priority="9" stopIfTrue="1" operator="greaterThan">
      <formula>$C$113</formula>
    </cfRule>
  </conditionalFormatting>
  <conditionalFormatting sqref="C112">
    <cfRule type="cellIs" dxfId="377" priority="10" stopIfTrue="1" operator="lessThan">
      <formula>0</formula>
    </cfRule>
  </conditionalFormatting>
  <conditionalFormatting sqref="D111">
    <cfRule type="cellIs" dxfId="376" priority="11" stopIfTrue="1" operator="greaterThan">
      <formula>$D$113</formula>
    </cfRule>
  </conditionalFormatting>
  <conditionalFormatting sqref="D112">
    <cfRule type="cellIs" dxfId="375" priority="1" stopIfTrue="1" operator="lessThan">
      <formula>0</formula>
    </cfRule>
  </conditionalFormatting>
  <pageMargins left="0.75" right="0.75" top="0.81" bottom="0.5" header="0.5" footer="0.5"/>
  <pageSetup scale="73" fitToHeight="2" orientation="portrait" blackAndWhite="1" r:id="rId1"/>
  <headerFooter alignWithMargins="0">
    <oddHeader>&amp;RState of Kansas
County</oddHeader>
  </headerFooter>
  <rowBreaks count="1" manualBreakCount="1">
    <brk id="58" min="1" max="4" man="1"/>
  </rowBreaks>
</worksheet>
</file>

<file path=xl/worksheets/sheet17.xml><?xml version="1.0" encoding="utf-8"?>
<worksheet xmlns="http://schemas.openxmlformats.org/spreadsheetml/2006/main" xmlns:r="http://schemas.openxmlformats.org/officeDocument/2006/relationships">
  <sheetPr codeName="Sheet13"/>
  <dimension ref="A1:D47"/>
  <sheetViews>
    <sheetView topLeftCell="A40" workbookViewId="0">
      <selection activeCell="A7" sqref="A7"/>
    </sheetView>
  </sheetViews>
  <sheetFormatPr defaultRowHeight="15.75"/>
  <cols>
    <col min="1" max="1" width="28.33203125" style="71" customWidth="1"/>
    <col min="2" max="3" width="15.77734375" style="71" customWidth="1"/>
    <col min="4" max="4" width="16.21875" style="71" customWidth="1"/>
    <col min="5" max="16384" width="8.88671875" style="71"/>
  </cols>
  <sheetData>
    <row r="1" spans="1:4">
      <c r="A1" s="226" t="str">
        <f>inputPrYr!C2</f>
        <v>Lyon County</v>
      </c>
      <c r="B1" s="84"/>
      <c r="C1" s="299"/>
      <c r="D1" s="84">
        <f>inputPrYr!C4</f>
        <v>2014</v>
      </c>
    </row>
    <row r="2" spans="1:4">
      <c r="A2" s="84"/>
      <c r="B2" s="84"/>
      <c r="C2" s="84"/>
      <c r="D2" s="299"/>
    </row>
    <row r="3" spans="1:4">
      <c r="A3" s="151" t="s">
        <v>235</v>
      </c>
      <c r="B3" s="312"/>
      <c r="C3" s="312"/>
      <c r="D3" s="312"/>
    </row>
    <row r="4" spans="1:4">
      <c r="A4" s="299" t="s">
        <v>159</v>
      </c>
      <c r="B4" s="701" t="s">
        <v>842</v>
      </c>
      <c r="C4" s="702" t="s">
        <v>843</v>
      </c>
      <c r="D4" s="214" t="s">
        <v>844</v>
      </c>
    </row>
    <row r="5" spans="1:4" ht="18.75" customHeight="1">
      <c r="A5" s="480" t="s">
        <v>683</v>
      </c>
      <c r="B5" s="453" t="str">
        <f>CONCATENATE("Actual for ",D1-2,"")</f>
        <v>Actual for 2012</v>
      </c>
      <c r="C5" s="453" t="str">
        <f>CONCATENATE("Estimate for ",D1-1,"")</f>
        <v>Estimate for 2013</v>
      </c>
      <c r="D5" s="300" t="str">
        <f>CONCATENATE("Year for ",D1,"")</f>
        <v>Year for 2014</v>
      </c>
    </row>
    <row r="6" spans="1:4">
      <c r="A6" s="260" t="s">
        <v>172</v>
      </c>
      <c r="B6" s="313"/>
      <c r="C6" s="313"/>
      <c r="D6" s="300"/>
    </row>
    <row r="7" spans="1:4">
      <c r="A7" s="322"/>
      <c r="B7" s="126"/>
      <c r="C7" s="126"/>
      <c r="D7" s="126"/>
    </row>
    <row r="8" spans="1:4">
      <c r="A8" s="109" t="s">
        <v>177</v>
      </c>
      <c r="B8" s="304"/>
      <c r="C8" s="304"/>
      <c r="D8" s="304"/>
    </row>
    <row r="9" spans="1:4">
      <c r="A9" s="109" t="s">
        <v>178</v>
      </c>
      <c r="B9" s="304"/>
      <c r="C9" s="304"/>
      <c r="D9" s="304"/>
    </row>
    <row r="10" spans="1:4">
      <c r="A10" s="109" t="s">
        <v>179</v>
      </c>
      <c r="B10" s="304"/>
      <c r="C10" s="304"/>
      <c r="D10" s="304"/>
    </row>
    <row r="11" spans="1:4">
      <c r="A11" s="109" t="s">
        <v>180</v>
      </c>
      <c r="B11" s="304"/>
      <c r="C11" s="304"/>
      <c r="D11" s="304"/>
    </row>
    <row r="12" spans="1:4">
      <c r="A12" s="260" t="s">
        <v>132</v>
      </c>
      <c r="B12" s="317">
        <f>SUM(B8:B11)</f>
        <v>0</v>
      </c>
      <c r="C12" s="317">
        <f>SUM(C8:C11)</f>
        <v>0</v>
      </c>
      <c r="D12" s="317">
        <f>SUM(D8:D11)</f>
        <v>0</v>
      </c>
    </row>
    <row r="13" spans="1:4">
      <c r="A13" s="322"/>
      <c r="B13" s="126"/>
      <c r="C13" s="126"/>
      <c r="D13" s="126"/>
    </row>
    <row r="14" spans="1:4">
      <c r="A14" s="109" t="s">
        <v>177</v>
      </c>
      <c r="B14" s="304"/>
      <c r="C14" s="304"/>
      <c r="D14" s="304"/>
    </row>
    <row r="15" spans="1:4">
      <c r="A15" s="109" t="s">
        <v>178</v>
      </c>
      <c r="B15" s="304"/>
      <c r="C15" s="304"/>
      <c r="D15" s="304"/>
    </row>
    <row r="16" spans="1:4">
      <c r="A16" s="109" t="s">
        <v>179</v>
      </c>
      <c r="B16" s="304"/>
      <c r="C16" s="304"/>
      <c r="D16" s="304"/>
    </row>
    <row r="17" spans="1:4">
      <c r="A17" s="109" t="s">
        <v>180</v>
      </c>
      <c r="B17" s="304"/>
      <c r="C17" s="304"/>
      <c r="D17" s="304"/>
    </row>
    <row r="18" spans="1:4">
      <c r="A18" s="260" t="s">
        <v>132</v>
      </c>
      <c r="B18" s="317">
        <f>SUM(B14:B17)</f>
        <v>0</v>
      </c>
      <c r="C18" s="317">
        <f>SUM(C14:C17)</f>
        <v>0</v>
      </c>
      <c r="D18" s="317">
        <f>SUM(D14:D17)</f>
        <v>0</v>
      </c>
    </row>
    <row r="19" spans="1:4">
      <c r="A19" s="322"/>
      <c r="B19" s="126"/>
      <c r="C19" s="126"/>
      <c r="D19" s="126"/>
    </row>
    <row r="20" spans="1:4">
      <c r="A20" s="109" t="s">
        <v>177</v>
      </c>
      <c r="B20" s="304"/>
      <c r="C20" s="304"/>
      <c r="D20" s="304"/>
    </row>
    <row r="21" spans="1:4">
      <c r="A21" s="109" t="s">
        <v>178</v>
      </c>
      <c r="B21" s="304"/>
      <c r="C21" s="304"/>
      <c r="D21" s="304"/>
    </row>
    <row r="22" spans="1:4">
      <c r="A22" s="109" t="s">
        <v>179</v>
      </c>
      <c r="B22" s="304"/>
      <c r="C22" s="304"/>
      <c r="D22" s="304"/>
    </row>
    <row r="23" spans="1:4">
      <c r="A23" s="109" t="s">
        <v>180</v>
      </c>
      <c r="B23" s="146"/>
      <c r="C23" s="146"/>
      <c r="D23" s="146"/>
    </row>
    <row r="24" spans="1:4">
      <c r="A24" s="260" t="s">
        <v>132</v>
      </c>
      <c r="B24" s="317">
        <f>SUM(B20:B23)</f>
        <v>0</v>
      </c>
      <c r="C24" s="317">
        <f>SUM(C20:C23)</f>
        <v>0</v>
      </c>
      <c r="D24" s="317">
        <f>SUM(D20:D23)</f>
        <v>0</v>
      </c>
    </row>
    <row r="25" spans="1:4">
      <c r="A25" s="322"/>
      <c r="B25" s="126"/>
      <c r="C25" s="126"/>
      <c r="D25" s="126"/>
    </row>
    <row r="26" spans="1:4">
      <c r="A26" s="109" t="s">
        <v>177</v>
      </c>
      <c r="B26" s="304"/>
      <c r="C26" s="304"/>
      <c r="D26" s="304"/>
    </row>
    <row r="27" spans="1:4">
      <c r="A27" s="109" t="s">
        <v>178</v>
      </c>
      <c r="B27" s="304"/>
      <c r="C27" s="304"/>
      <c r="D27" s="304"/>
    </row>
    <row r="28" spans="1:4">
      <c r="A28" s="109" t="s">
        <v>179</v>
      </c>
      <c r="B28" s="304"/>
      <c r="C28" s="304"/>
      <c r="D28" s="304"/>
    </row>
    <row r="29" spans="1:4">
      <c r="A29" s="109" t="s">
        <v>180</v>
      </c>
      <c r="B29" s="304"/>
      <c r="C29" s="304"/>
      <c r="D29" s="304"/>
    </row>
    <row r="30" spans="1:4">
      <c r="A30" s="260" t="s">
        <v>132</v>
      </c>
      <c r="B30" s="317">
        <f>SUM(B26:B29)</f>
        <v>0</v>
      </c>
      <c r="C30" s="317">
        <f>SUM(C26:C29)</f>
        <v>0</v>
      </c>
      <c r="D30" s="317">
        <f>SUM(D26:D29)</f>
        <v>0</v>
      </c>
    </row>
    <row r="31" spans="1:4">
      <c r="A31" s="322"/>
      <c r="B31" s="126"/>
      <c r="C31" s="126"/>
      <c r="D31" s="126"/>
    </row>
    <row r="32" spans="1:4">
      <c r="A32" s="109" t="s">
        <v>177</v>
      </c>
      <c r="B32" s="304"/>
      <c r="C32" s="304"/>
      <c r="D32" s="304"/>
    </row>
    <row r="33" spans="1:4">
      <c r="A33" s="109" t="s">
        <v>178</v>
      </c>
      <c r="B33" s="304"/>
      <c r="C33" s="304"/>
      <c r="D33" s="304"/>
    </row>
    <row r="34" spans="1:4">
      <c r="A34" s="109" t="s">
        <v>179</v>
      </c>
      <c r="B34" s="304"/>
      <c r="C34" s="304"/>
      <c r="D34" s="304"/>
    </row>
    <row r="35" spans="1:4">
      <c r="A35" s="109" t="s">
        <v>180</v>
      </c>
      <c r="B35" s="304"/>
      <c r="C35" s="304"/>
      <c r="D35" s="304"/>
    </row>
    <row r="36" spans="1:4">
      <c r="A36" s="260" t="s">
        <v>132</v>
      </c>
      <c r="B36" s="317">
        <f>SUM(B32:B35)</f>
        <v>0</v>
      </c>
      <c r="C36" s="317">
        <f>SUM(C32:C35)</f>
        <v>0</v>
      </c>
      <c r="D36" s="317">
        <f>SUM(D32:D35)</f>
        <v>0</v>
      </c>
    </row>
    <row r="37" spans="1:4">
      <c r="A37" s="322"/>
      <c r="B37" s="126"/>
      <c r="C37" s="126"/>
      <c r="D37" s="126"/>
    </row>
    <row r="38" spans="1:4">
      <c r="A38" s="109" t="s">
        <v>177</v>
      </c>
      <c r="B38" s="304"/>
      <c r="C38" s="304"/>
      <c r="D38" s="304"/>
    </row>
    <row r="39" spans="1:4">
      <c r="A39" s="109" t="s">
        <v>178</v>
      </c>
      <c r="B39" s="304"/>
      <c r="C39" s="304"/>
      <c r="D39" s="304"/>
    </row>
    <row r="40" spans="1:4">
      <c r="A40" s="109" t="s">
        <v>179</v>
      </c>
      <c r="B40" s="304"/>
      <c r="C40" s="304"/>
      <c r="D40" s="304"/>
    </row>
    <row r="41" spans="1:4">
      <c r="A41" s="109" t="s">
        <v>180</v>
      </c>
      <c r="B41" s="304"/>
      <c r="C41" s="304"/>
      <c r="D41" s="304"/>
    </row>
    <row r="42" spans="1:4">
      <c r="A42" s="260" t="s">
        <v>132</v>
      </c>
      <c r="B42" s="317">
        <f>SUM(B38:B41)</f>
        <v>0</v>
      </c>
      <c r="C42" s="317">
        <f>SUM(C38:C41)</f>
        <v>0</v>
      </c>
      <c r="D42" s="317">
        <f>SUM(D38:D41)</f>
        <v>0</v>
      </c>
    </row>
    <row r="43" spans="1:4">
      <c r="A43" s="107" t="s">
        <v>34</v>
      </c>
      <c r="B43" s="315">
        <f>SUM(B12+B18+B24+B30+B36+B42)</f>
        <v>0</v>
      </c>
      <c r="C43" s="315">
        <f>SUM(C12+C18+C24+C30+C36+C42)</f>
        <v>0</v>
      </c>
      <c r="D43" s="315">
        <f>SUM(D12+D18+D24+D30+D36+D42)</f>
        <v>0</v>
      </c>
    </row>
    <row r="44" spans="1:4">
      <c r="A44" s="353" t="s">
        <v>33</v>
      </c>
      <c r="B44" s="297"/>
      <c r="C44" s="354"/>
      <c r="D44" s="226"/>
    </row>
    <row r="45" spans="1:4">
      <c r="A45" s="84"/>
      <c r="B45" s="84"/>
      <c r="C45" s="84"/>
      <c r="D45" s="84"/>
    </row>
    <row r="46" spans="1:4">
      <c r="A46" s="84"/>
      <c r="B46" s="84"/>
      <c r="C46" s="84"/>
      <c r="D46" s="84"/>
    </row>
    <row r="47" spans="1:4">
      <c r="A47" s="84"/>
      <c r="B47" s="100" t="str">
        <f>CONCATENATE("Page No.",road!C57,"b")</f>
        <v>Page No.9b</v>
      </c>
      <c r="C47" s="84"/>
      <c r="D47" s="84"/>
    </row>
  </sheetData>
  <sheetProtection sheet="1"/>
  <phoneticPr fontId="0" type="noConversion"/>
  <pageMargins left="1.1200000000000001" right="0.5" top="0.74" bottom="0.34" header="0.5" footer="0"/>
  <pageSetup scale="75" orientation="portrait" blackAndWhite="1" horizontalDpi="300" verticalDpi="300" r:id="rId1"/>
  <headerFooter alignWithMargins="0">
    <oddHeader xml:space="preserve">&amp;RState of Kansas
County
</oddHeader>
  </headerFooter>
</worksheet>
</file>

<file path=xl/worksheets/sheet18.xml><?xml version="1.0" encoding="utf-8"?>
<worksheet xmlns="http://schemas.openxmlformats.org/spreadsheetml/2006/main" xmlns:r="http://schemas.openxmlformats.org/officeDocument/2006/relationships">
  <sheetPr codeName="Sheet12">
    <pageSetUpPr fitToPage="1"/>
  </sheetPr>
  <dimension ref="B1:K95"/>
  <sheetViews>
    <sheetView zoomScaleNormal="100" workbookViewId="0">
      <selection activeCell="G57" sqref="G57"/>
    </sheetView>
  </sheetViews>
  <sheetFormatPr defaultRowHeight="15.75"/>
  <cols>
    <col min="1" max="1" width="2.44140625" style="71" customWidth="1"/>
    <col min="2" max="2" width="31.109375" style="71" customWidth="1"/>
    <col min="3" max="4" width="15.77734375" style="71" customWidth="1"/>
    <col min="5" max="5" width="16.10937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331"/>
      <c r="D3" s="331"/>
      <c r="E3" s="332"/>
    </row>
    <row r="4" spans="2:5">
      <c r="B4" s="83" t="s">
        <v>159</v>
      </c>
      <c r="C4" s="701" t="s">
        <v>842</v>
      </c>
      <c r="D4" s="702" t="s">
        <v>843</v>
      </c>
      <c r="E4" s="214" t="s">
        <v>844</v>
      </c>
    </row>
    <row r="5" spans="2:5">
      <c r="B5" s="482" t="str">
        <f>inputPrYr!B19</f>
        <v>Multi-year Cap Imp (17)</v>
      </c>
      <c r="C5" s="453" t="str">
        <f>CONCATENATE("Actual for ",E1-2,"")</f>
        <v>Actual for 2012</v>
      </c>
      <c r="D5" s="453" t="str">
        <f>CONCATENATE("Estimate for ",E1-1,"")</f>
        <v>Estimate for 2013</v>
      </c>
      <c r="E5" s="300" t="str">
        <f>CONCATENATE("Year for ",E1,"")</f>
        <v>Year for 2014</v>
      </c>
    </row>
    <row r="6" spans="2:5">
      <c r="B6" s="147" t="s">
        <v>278</v>
      </c>
      <c r="C6" s="450">
        <v>195798</v>
      </c>
      <c r="D6" s="454">
        <f>C35</f>
        <v>-60535</v>
      </c>
      <c r="E6" s="263">
        <f>D35</f>
        <v>129689</v>
      </c>
    </row>
    <row r="7" spans="2:5">
      <c r="B7" s="288" t="s">
        <v>280</v>
      </c>
      <c r="C7" s="303"/>
      <c r="D7" s="303"/>
      <c r="E7" s="126"/>
    </row>
    <row r="8" spans="2:5">
      <c r="B8" s="147" t="s">
        <v>160</v>
      </c>
      <c r="C8" s="450">
        <v>552022</v>
      </c>
      <c r="D8" s="454">
        <f>IF(inputPrYr!H19&gt;0,inputPrYr!H19,inputPrYr!E19)-15250+445</f>
        <v>879282</v>
      </c>
      <c r="E8" s="335" t="s">
        <v>148</v>
      </c>
    </row>
    <row r="9" spans="2:5">
      <c r="B9" s="147" t="s">
        <v>161</v>
      </c>
      <c r="C9" s="450">
        <v>2209</v>
      </c>
      <c r="D9" s="450">
        <v>6018</v>
      </c>
      <c r="E9" s="111">
        <v>500</v>
      </c>
    </row>
    <row r="10" spans="2:5">
      <c r="B10" s="147" t="s">
        <v>162</v>
      </c>
      <c r="C10" s="450"/>
      <c r="D10" s="450">
        <v>23641</v>
      </c>
      <c r="E10" s="263">
        <f>mvalloc!E10</f>
        <v>71197.8</v>
      </c>
    </row>
    <row r="11" spans="2:5">
      <c r="B11" s="147" t="s">
        <v>163</v>
      </c>
      <c r="C11" s="450"/>
      <c r="D11" s="450">
        <v>340</v>
      </c>
      <c r="E11" s="263">
        <f>mvalloc!F10</f>
        <v>1007.15</v>
      </c>
    </row>
    <row r="12" spans="2:5">
      <c r="B12" s="303" t="s">
        <v>227</v>
      </c>
      <c r="C12" s="450"/>
      <c r="D12" s="450"/>
      <c r="E12" s="263">
        <f>mvalloc!G10</f>
        <v>3074.99</v>
      </c>
    </row>
    <row r="13" spans="2:5">
      <c r="B13" s="303" t="s">
        <v>1102</v>
      </c>
      <c r="C13" s="450"/>
      <c r="D13" s="450"/>
      <c r="E13" s="450">
        <v>900000</v>
      </c>
    </row>
    <row r="14" spans="2:5">
      <c r="B14" s="316" t="s">
        <v>977</v>
      </c>
      <c r="C14" s="450">
        <f>197572+41</f>
        <v>197613</v>
      </c>
      <c r="D14" s="450">
        <f>6000+197572</f>
        <v>203572</v>
      </c>
      <c r="E14" s="111">
        <v>0</v>
      </c>
    </row>
    <row r="15" spans="2:5">
      <c r="B15" s="316" t="s">
        <v>978</v>
      </c>
      <c r="C15" s="450">
        <v>0</v>
      </c>
      <c r="D15" s="450"/>
      <c r="E15" s="111"/>
    </row>
    <row r="16" spans="2:5">
      <c r="B16" s="316" t="s">
        <v>979</v>
      </c>
      <c r="C16" s="450">
        <v>34281</v>
      </c>
      <c r="D16" s="450">
        <v>27371</v>
      </c>
      <c r="E16" s="111">
        <v>10000</v>
      </c>
    </row>
    <row r="17" spans="2:10">
      <c r="B17" s="316"/>
      <c r="C17" s="450"/>
      <c r="D17" s="450"/>
      <c r="E17" s="111"/>
    </row>
    <row r="18" spans="2:10">
      <c r="B18" s="306" t="s">
        <v>167</v>
      </c>
      <c r="C18" s="450"/>
      <c r="D18" s="450"/>
      <c r="E18" s="111"/>
    </row>
    <row r="19" spans="2:10">
      <c r="B19" s="307" t="s">
        <v>75</v>
      </c>
      <c r="C19" s="450"/>
      <c r="D19" s="450"/>
      <c r="E19" s="111"/>
    </row>
    <row r="20" spans="2:10">
      <c r="B20" s="307" t="s">
        <v>682</v>
      </c>
      <c r="C20" s="451" t="str">
        <f>IF(C21*0.1&lt;C19,"Exceed 10% Rule","")</f>
        <v/>
      </c>
      <c r="D20" s="451" t="str">
        <f>IF(D21*0.1&lt;D19,"Exceed 10% Rule","")</f>
        <v/>
      </c>
      <c r="E20" s="342" t="str">
        <f>IF(E21*0.1+E41&lt;E19,"Exceed 10% Rule","")</f>
        <v/>
      </c>
    </row>
    <row r="21" spans="2:10">
      <c r="B21" s="309" t="s">
        <v>168</v>
      </c>
      <c r="C21" s="452">
        <f>SUM(C8:C19)</f>
        <v>786125</v>
      </c>
      <c r="D21" s="452">
        <f>SUM(D8:D19)</f>
        <v>1140224</v>
      </c>
      <c r="E21" s="350">
        <f>SUM(E8:E19)</f>
        <v>985779.94</v>
      </c>
    </row>
    <row r="22" spans="2:10">
      <c r="B22" s="309" t="s">
        <v>169</v>
      </c>
      <c r="C22" s="452">
        <f>C6+C21</f>
        <v>981923</v>
      </c>
      <c r="D22" s="452">
        <f>D6+D21</f>
        <v>1079689</v>
      </c>
      <c r="E22" s="350">
        <f>E6+E21</f>
        <v>1115468.94</v>
      </c>
    </row>
    <row r="23" spans="2:10">
      <c r="B23" s="147" t="s">
        <v>172</v>
      </c>
      <c r="C23" s="307"/>
      <c r="D23" s="307"/>
      <c r="E23" s="107"/>
    </row>
    <row r="24" spans="2:10">
      <c r="B24" s="316" t="s">
        <v>975</v>
      </c>
      <c r="C24" s="450">
        <v>1042458</v>
      </c>
      <c r="D24" s="450">
        <v>950000</v>
      </c>
      <c r="E24" s="111">
        <v>1931520</v>
      </c>
    </row>
    <row r="25" spans="2:10">
      <c r="B25" s="316" t="s">
        <v>976</v>
      </c>
      <c r="C25" s="450" t="s">
        <v>189</v>
      </c>
      <c r="D25" s="450"/>
      <c r="E25" s="111"/>
      <c r="G25" s="800" t="str">
        <f>CONCATENATE("Desired Carryover Into ",E1+1,"")</f>
        <v>Desired Carryover Into 2015</v>
      </c>
      <c r="H25" s="801"/>
      <c r="I25" s="801"/>
      <c r="J25" s="802"/>
    </row>
    <row r="26" spans="2:10">
      <c r="B26" s="316"/>
      <c r="C26" s="450"/>
      <c r="D26" s="450"/>
      <c r="E26" s="111"/>
      <c r="G26" s="648"/>
      <c r="H26" s="649"/>
      <c r="I26" s="650"/>
      <c r="J26" s="651"/>
    </row>
    <row r="27" spans="2:10">
      <c r="B27" s="316"/>
      <c r="C27" s="450"/>
      <c r="D27" s="450"/>
      <c r="E27" s="111"/>
      <c r="G27" s="652" t="s">
        <v>688</v>
      </c>
      <c r="H27" s="650"/>
      <c r="I27" s="650"/>
      <c r="J27" s="653">
        <v>0</v>
      </c>
    </row>
    <row r="28" spans="2:10">
      <c r="B28" s="316"/>
      <c r="C28" s="450"/>
      <c r="D28" s="450"/>
      <c r="E28" s="111"/>
      <c r="G28" s="648" t="s">
        <v>689</v>
      </c>
      <c r="H28" s="649"/>
      <c r="I28" s="649"/>
      <c r="J28" s="654" t="str">
        <f>IF(J27=0,"",ROUND((J27+E41-G40)/inputOth!E6*1000,3)-G45)</f>
        <v/>
      </c>
    </row>
    <row r="29" spans="2:10">
      <c r="B29" s="316"/>
      <c r="C29" s="450"/>
      <c r="D29" s="450"/>
      <c r="E29" s="111"/>
      <c r="G29" s="655" t="str">
        <f>CONCATENATE("",E1," Tot Exp/Non-Appr Must Be:")</f>
        <v>2014 Tot Exp/Non-Appr Must Be:</v>
      </c>
      <c r="H29" s="656"/>
      <c r="I29" s="657"/>
      <c r="J29" s="658">
        <f>IF(J27&gt;0,IF(E38&lt;E22,IF(J27=G40,E38,((J27-G40)*(1-D40))+E22),E38+(J27-G40)),0)</f>
        <v>0</v>
      </c>
    </row>
    <row r="30" spans="2:10">
      <c r="B30" s="316"/>
      <c r="C30" s="450"/>
      <c r="D30" s="450"/>
      <c r="E30" s="111"/>
      <c r="G30" s="659" t="s">
        <v>840</v>
      </c>
      <c r="H30" s="660"/>
      <c r="I30" s="660"/>
      <c r="J30" s="661">
        <f>IF(J27&gt;0,J29-E38,0)</f>
        <v>0</v>
      </c>
    </row>
    <row r="31" spans="2:10">
      <c r="B31" s="307" t="s">
        <v>77</v>
      </c>
      <c r="C31" s="450"/>
      <c r="D31" s="450"/>
      <c r="E31" s="119" t="str">
        <f>Nhood!E9</f>
        <v/>
      </c>
      <c r="G31" s="1"/>
      <c r="H31" s="1"/>
      <c r="I31" s="1"/>
      <c r="J31" s="1"/>
    </row>
    <row r="32" spans="2:10">
      <c r="B32" s="307" t="s">
        <v>75</v>
      </c>
      <c r="C32" s="450"/>
      <c r="D32" s="450"/>
      <c r="E32" s="111"/>
      <c r="G32" s="800" t="str">
        <f>CONCATENATE("Projected Carryover Into ",E1+1,"")</f>
        <v>Projected Carryover Into 2015</v>
      </c>
      <c r="H32" s="807"/>
      <c r="I32" s="807"/>
      <c r="J32" s="808"/>
    </row>
    <row r="33" spans="2:11">
      <c r="B33" s="307" t="s">
        <v>681</v>
      </c>
      <c r="C33" s="451" t="str">
        <f>IF(C34*0.1&lt;C32,"Exceed 10% Rule","")</f>
        <v/>
      </c>
      <c r="D33" s="451" t="str">
        <f>IF(D34*0.1&lt;D32,"Exceed 10% Rule","")</f>
        <v/>
      </c>
      <c r="E33" s="342" t="str">
        <f>IF(E34*0.1&lt;E32,"Exceed 10% Rule","")</f>
        <v/>
      </c>
      <c r="G33" s="648"/>
      <c r="H33" s="650"/>
      <c r="I33" s="650"/>
      <c r="J33" s="676"/>
    </row>
    <row r="34" spans="2:11">
      <c r="B34" s="309" t="s">
        <v>173</v>
      </c>
      <c r="C34" s="452">
        <f>SUM(C24:C32)</f>
        <v>1042458</v>
      </c>
      <c r="D34" s="452">
        <f>SUM(D24:D32)</f>
        <v>950000</v>
      </c>
      <c r="E34" s="350">
        <f>SUM(E24:E32)</f>
        <v>1931520</v>
      </c>
      <c r="G34" s="677">
        <f>D35</f>
        <v>129689</v>
      </c>
      <c r="H34" s="667" t="str">
        <f>CONCATENATE("",E1-1," Ending Cash Balance (est.)")</f>
        <v>2013 Ending Cash Balance (est.)</v>
      </c>
      <c r="I34" s="678"/>
      <c r="J34" s="676"/>
    </row>
    <row r="35" spans="2:11">
      <c r="B35" s="147" t="s">
        <v>279</v>
      </c>
      <c r="C35" s="455">
        <f>C22-C34</f>
        <v>-60535</v>
      </c>
      <c r="D35" s="455">
        <f>D22-D34</f>
        <v>129689</v>
      </c>
      <c r="E35" s="335" t="s">
        <v>148</v>
      </c>
      <c r="G35" s="677">
        <f>E21</f>
        <v>985779.94</v>
      </c>
      <c r="H35" s="650" t="str">
        <f>CONCATENATE("",E1," Non-AV Receipts (est.)")</f>
        <v>2014 Non-AV Receipts (est.)</v>
      </c>
      <c r="I35" s="678"/>
      <c r="J35" s="676"/>
    </row>
    <row r="36" spans="2:11">
      <c r="B36" s="285" t="str">
        <f>CONCATENATE("",E$1-2,"/",E$1-1," Budget Authority Amount:")</f>
        <v>2012/2013 Budget Authority Amount:</v>
      </c>
      <c r="C36" s="277">
        <f>inputOth!B33</f>
        <v>1031400</v>
      </c>
      <c r="D36" s="277">
        <f>inputPrYr!D19</f>
        <v>1031400</v>
      </c>
      <c r="E36" s="335" t="s">
        <v>148</v>
      </c>
      <c r="F36" s="318"/>
      <c r="G36" s="679">
        <f>IF(E40&gt;0,E39,E41)</f>
        <v>867621.06</v>
      </c>
      <c r="H36" s="650" t="str">
        <f>CONCATENATE("",E1," Ad Valorem Tax (est.)")</f>
        <v>2014 Ad Valorem Tax (est.)</v>
      </c>
      <c r="I36" s="678"/>
      <c r="J36" s="676"/>
      <c r="K36" s="664" t="str">
        <f>IF(G36=E41,"","Note: Does not include Delinquent Taxes")</f>
        <v>Note: Does not include Delinquent Taxes</v>
      </c>
    </row>
    <row r="37" spans="2:11">
      <c r="B37" s="285"/>
      <c r="C37" s="790" t="s">
        <v>685</v>
      </c>
      <c r="D37" s="791"/>
      <c r="E37" s="111">
        <v>51570</v>
      </c>
      <c r="F37" s="500" t="str">
        <f>IF(E34/0.95-E34&lt;E37,"Exceeds 5%","")</f>
        <v/>
      </c>
      <c r="G37" s="677">
        <f>SUM(G34:G36)</f>
        <v>1983090</v>
      </c>
      <c r="H37" s="650" t="str">
        <f>CONCATENATE("Total ",E1," Resources Available")</f>
        <v>Total 2014 Resources Available</v>
      </c>
      <c r="I37" s="678"/>
      <c r="J37" s="676"/>
    </row>
    <row r="38" spans="2:11">
      <c r="B38" s="504" t="str">
        <f>CONCATENATE(C92,"     ",D92)</f>
        <v xml:space="preserve">See Tab A     </v>
      </c>
      <c r="C38" s="792" t="s">
        <v>686</v>
      </c>
      <c r="D38" s="793"/>
      <c r="E38" s="263">
        <f>E34+E37</f>
        <v>1983090</v>
      </c>
      <c r="G38" s="680"/>
      <c r="H38" s="650"/>
      <c r="I38" s="650"/>
      <c r="J38" s="676"/>
    </row>
    <row r="39" spans="2:11">
      <c r="B39" s="504" t="str">
        <f>CONCATENATE(C93,"     ",D93)</f>
        <v xml:space="preserve">See Tab B     </v>
      </c>
      <c r="C39" s="319"/>
      <c r="D39" s="238" t="s">
        <v>174</v>
      </c>
      <c r="E39" s="119">
        <f>IF(E38-E22&gt;0,E38-E22,0)</f>
        <v>867621.06</v>
      </c>
      <c r="G39" s="679">
        <f>ROUND(C34*0.05+C34,0)</f>
        <v>1094581</v>
      </c>
      <c r="H39" s="650" t="str">
        <f>CONCATENATE("Less ",E1-2," Expenditures + 5%")</f>
        <v>Less 2012 Expenditures + 5%</v>
      </c>
      <c r="I39" s="678"/>
      <c r="J39" s="681"/>
    </row>
    <row r="40" spans="2:11">
      <c r="B40" s="238"/>
      <c r="C40" s="502" t="s">
        <v>687</v>
      </c>
      <c r="D40" s="647">
        <f>inputOth!$E$23</f>
        <v>0.03</v>
      </c>
      <c r="E40" s="263">
        <f>ROUND(IF(D40&gt;0,($E$39*D40),0),0)</f>
        <v>26029</v>
      </c>
      <c r="G40" s="682">
        <f>G37-G39</f>
        <v>888509</v>
      </c>
      <c r="H40" s="683" t="str">
        <f>CONCATENATE("Projected ",E1+1," carryover (est.)")</f>
        <v>Projected 2015 carryover (est.)</v>
      </c>
      <c r="I40" s="684"/>
      <c r="J40" s="685"/>
    </row>
    <row r="41" spans="2:11">
      <c r="B41" s="84"/>
      <c r="C41" s="798" t="str">
        <f>CONCATENATE("Amount of  ",$E$1-1," Ad Valorem Tax")</f>
        <v>Amount of  2013 Ad Valorem Tax</v>
      </c>
      <c r="D41" s="799"/>
      <c r="E41" s="346">
        <f>E39+E40</f>
        <v>893650.06</v>
      </c>
      <c r="G41" s="1"/>
      <c r="H41" s="1"/>
      <c r="I41" s="1"/>
      <c r="J41" s="1"/>
    </row>
    <row r="42" spans="2:11">
      <c r="B42" s="84"/>
      <c r="C42" s="325"/>
      <c r="D42" s="325"/>
      <c r="E42" s="325" t="s">
        <v>189</v>
      </c>
      <c r="G42" s="803" t="s">
        <v>841</v>
      </c>
      <c r="H42" s="804"/>
      <c r="I42" s="804"/>
      <c r="J42" s="805"/>
    </row>
    <row r="43" spans="2:11">
      <c r="B43" s="83" t="s">
        <v>159</v>
      </c>
      <c r="C43" s="701" t="str">
        <f t="shared" ref="C43:E44" si="0">C4</f>
        <v xml:space="preserve">Prior Year </v>
      </c>
      <c r="D43" s="702" t="str">
        <f t="shared" si="0"/>
        <v xml:space="preserve">Current Year </v>
      </c>
      <c r="E43" s="214" t="str">
        <f t="shared" si="0"/>
        <v xml:space="preserve">Proposed Budget </v>
      </c>
      <c r="G43" s="666"/>
      <c r="H43" s="667"/>
      <c r="I43" s="668"/>
      <c r="J43" s="669"/>
    </row>
    <row r="44" spans="2:11">
      <c r="B44" s="481" t="str">
        <f>(inputPrYr!B20)</f>
        <v>Mental Health (23)</v>
      </c>
      <c r="C44" s="453" t="str">
        <f t="shared" si="0"/>
        <v>Actual for 2012</v>
      </c>
      <c r="D44" s="453" t="str">
        <f t="shared" si="0"/>
        <v>Estimate for 2013</v>
      </c>
      <c r="E44" s="300" t="str">
        <f t="shared" si="0"/>
        <v>Year for 2014</v>
      </c>
      <c r="G44" s="670">
        <f>summ!H19</f>
        <v>3.3218000000000001</v>
      </c>
      <c r="H44" s="667" t="str">
        <f>CONCATENATE("",E1," Fund Mill Rate")</f>
        <v>2014 Fund Mill Rate</v>
      </c>
      <c r="I44" s="668"/>
      <c r="J44" s="669"/>
    </row>
    <row r="45" spans="2:11">
      <c r="B45" s="147" t="s">
        <v>278</v>
      </c>
      <c r="C45" s="450">
        <v>25240</v>
      </c>
      <c r="D45" s="454">
        <f>C75</f>
        <v>31428</v>
      </c>
      <c r="E45" s="263">
        <f>D75</f>
        <v>22131</v>
      </c>
      <c r="G45" s="671">
        <f>summ!E19</f>
        <v>3.81</v>
      </c>
      <c r="H45" s="667" t="str">
        <f>CONCATENATE("",E1-1," Fund Mill Rate")</f>
        <v>2013 Fund Mill Rate</v>
      </c>
      <c r="I45" s="668"/>
      <c r="J45" s="669"/>
    </row>
    <row r="46" spans="2:11">
      <c r="B46" s="301" t="s">
        <v>280</v>
      </c>
      <c r="C46" s="303"/>
      <c r="D46" s="303"/>
      <c r="E46" s="126"/>
      <c r="G46" s="672">
        <f>summ!H61</f>
        <v>56.5124</v>
      </c>
      <c r="H46" s="667" t="str">
        <f>CONCATENATE("Total ",E1," Mill Rate")</f>
        <v>Total 2014 Mill Rate</v>
      </c>
      <c r="I46" s="668"/>
      <c r="J46" s="669"/>
    </row>
    <row r="47" spans="2:11">
      <c r="B47" s="147" t="s">
        <v>160</v>
      </c>
      <c r="C47" s="450">
        <v>323617</v>
      </c>
      <c r="D47" s="454">
        <f>IF(inputPrYr!H20&gt;0,inputPrYr!H20,inputPrYr!E20)-7535+220</f>
        <v>226179</v>
      </c>
      <c r="E47" s="335" t="s">
        <v>148</v>
      </c>
      <c r="G47" s="671">
        <f>summ!E61</f>
        <v>63.972000000000008</v>
      </c>
      <c r="H47" s="673" t="str">
        <f>CONCATENATE("Total ",E1-1," Mill Rate")</f>
        <v>Total 2013 Mill Rate</v>
      </c>
      <c r="I47" s="674"/>
      <c r="J47" s="675"/>
    </row>
    <row r="48" spans="2:11">
      <c r="B48" s="147" t="s">
        <v>161</v>
      </c>
      <c r="C48" s="450">
        <v>5324</v>
      </c>
      <c r="D48" s="450">
        <v>4261</v>
      </c>
      <c r="E48" s="111">
        <v>2750</v>
      </c>
      <c r="G48" s="1"/>
      <c r="H48" s="1"/>
      <c r="I48" s="1"/>
      <c r="J48" s="1"/>
    </row>
    <row r="49" spans="2:10">
      <c r="B49" s="147" t="s">
        <v>162</v>
      </c>
      <c r="C49" s="450">
        <v>30668</v>
      </c>
      <c r="D49" s="450">
        <v>43000</v>
      </c>
      <c r="E49" s="263">
        <f>mvalloc!E11</f>
        <v>41610.199999999997</v>
      </c>
      <c r="G49" s="1">
        <v>893650</v>
      </c>
      <c r="H49" s="1"/>
      <c r="I49" s="1"/>
      <c r="J49" s="1"/>
    </row>
    <row r="50" spans="2:10">
      <c r="B50" s="147" t="s">
        <v>163</v>
      </c>
      <c r="C50" s="450"/>
      <c r="D50" s="450"/>
      <c r="E50" s="263">
        <f>mvalloc!F11</f>
        <v>588.61</v>
      </c>
      <c r="G50" s="742">
        <f>+G49-E41</f>
        <v>-6.0000000055879354E-2</v>
      </c>
      <c r="H50" s="1"/>
      <c r="I50" s="1"/>
      <c r="J50" s="1"/>
    </row>
    <row r="51" spans="2:10">
      <c r="B51" s="303" t="s">
        <v>227</v>
      </c>
      <c r="C51" s="450"/>
      <c r="D51" s="450"/>
      <c r="E51" s="263">
        <f>mvalloc!G11</f>
        <v>1797.12</v>
      </c>
      <c r="G51" s="1"/>
      <c r="H51" s="1"/>
      <c r="I51" s="1"/>
      <c r="J51" s="1"/>
    </row>
    <row r="52" spans="2:10">
      <c r="B52" s="316"/>
      <c r="C52" s="450"/>
      <c r="D52" s="450"/>
      <c r="E52" s="111"/>
      <c r="G52" s="1"/>
      <c r="H52" s="1"/>
      <c r="I52" s="1"/>
      <c r="J52" s="1"/>
    </row>
    <row r="53" spans="2:10">
      <c r="B53" s="316"/>
      <c r="C53" s="450"/>
      <c r="D53" s="450"/>
      <c r="E53" s="111"/>
      <c r="G53" s="1"/>
      <c r="H53" s="1"/>
      <c r="I53" s="1"/>
      <c r="J53" s="1"/>
    </row>
    <row r="54" spans="2:10">
      <c r="B54" s="316"/>
      <c r="C54" s="450"/>
      <c r="D54" s="450"/>
      <c r="E54" s="111"/>
      <c r="G54" s="1"/>
      <c r="H54" s="1"/>
      <c r="I54" s="1"/>
      <c r="J54" s="1"/>
    </row>
    <row r="55" spans="2:10">
      <c r="B55" s="316"/>
      <c r="C55" s="450"/>
      <c r="D55" s="450"/>
      <c r="E55" s="111"/>
      <c r="G55" s="1"/>
      <c r="H55" s="1"/>
      <c r="I55" s="1"/>
      <c r="J55" s="1"/>
    </row>
    <row r="56" spans="2:10">
      <c r="B56" s="316"/>
      <c r="C56" s="450"/>
      <c r="D56" s="450"/>
      <c r="E56" s="111"/>
      <c r="G56" s="1"/>
      <c r="H56" s="1"/>
      <c r="I56" s="1"/>
      <c r="J56" s="1"/>
    </row>
    <row r="57" spans="2:10">
      <c r="B57" s="316"/>
      <c r="C57" s="450"/>
      <c r="D57" s="450"/>
      <c r="E57" s="111"/>
      <c r="G57" s="1"/>
      <c r="H57" s="1"/>
      <c r="I57" s="1"/>
      <c r="J57" s="1"/>
    </row>
    <row r="58" spans="2:10">
      <c r="B58" s="306" t="s">
        <v>167</v>
      </c>
      <c r="C58" s="450"/>
      <c r="D58" s="450"/>
      <c r="E58" s="111"/>
      <c r="G58" s="1"/>
      <c r="H58" s="1"/>
      <c r="I58" s="1"/>
      <c r="J58" s="1"/>
    </row>
    <row r="59" spans="2:10">
      <c r="B59" s="307" t="s">
        <v>75</v>
      </c>
      <c r="C59" s="450">
        <v>0</v>
      </c>
      <c r="D59" s="450"/>
      <c r="E59" s="111"/>
      <c r="G59" s="1"/>
      <c r="H59" s="1"/>
      <c r="I59" s="1"/>
      <c r="J59" s="1"/>
    </row>
    <row r="60" spans="2:10">
      <c r="B60" s="307" t="s">
        <v>682</v>
      </c>
      <c r="C60" s="451" t="str">
        <f>IF(C61*0.1&lt;C59,"Exceed 10% Rule","")</f>
        <v/>
      </c>
      <c r="D60" s="451" t="str">
        <f>IF(D61*0.1&lt;D59,"Exceed 10% Rule","")</f>
        <v/>
      </c>
      <c r="E60" s="342" t="str">
        <f>IF(E61*0.1+E81&lt;E59,"Exceed 10% Rule","")</f>
        <v/>
      </c>
      <c r="G60" s="1"/>
      <c r="H60" s="1"/>
      <c r="I60" s="1"/>
      <c r="J60" s="1"/>
    </row>
    <row r="61" spans="2:10">
      <c r="B61" s="309" t="s">
        <v>168</v>
      </c>
      <c r="C61" s="452">
        <f>SUM(C47:C59)</f>
        <v>359609</v>
      </c>
      <c r="D61" s="452">
        <f>SUM(D47:D59)</f>
        <v>273440</v>
      </c>
      <c r="E61" s="350">
        <f>SUM(E47:E59)</f>
        <v>46745.93</v>
      </c>
      <c r="G61" s="1"/>
      <c r="H61" s="1"/>
      <c r="I61" s="1"/>
      <c r="J61" s="1"/>
    </row>
    <row r="62" spans="2:10">
      <c r="B62" s="309" t="s">
        <v>169</v>
      </c>
      <c r="C62" s="452">
        <f>C45+C61</f>
        <v>384849</v>
      </c>
      <c r="D62" s="452">
        <f>D45+D61</f>
        <v>304868</v>
      </c>
      <c r="E62" s="350">
        <f>E45+E61</f>
        <v>68876.929999999993</v>
      </c>
      <c r="G62" s="1"/>
      <c r="H62" s="1"/>
      <c r="I62" s="1"/>
      <c r="J62" s="1"/>
    </row>
    <row r="63" spans="2:10">
      <c r="B63" s="147" t="s">
        <v>172</v>
      </c>
      <c r="C63" s="307"/>
      <c r="D63" s="307"/>
      <c r="E63" s="107"/>
      <c r="G63" s="1"/>
      <c r="H63" s="1"/>
      <c r="I63" s="1"/>
      <c r="J63" s="1"/>
    </row>
    <row r="64" spans="2:10">
      <c r="B64" s="316" t="s">
        <v>966</v>
      </c>
      <c r="C64" s="450">
        <v>353421</v>
      </c>
      <c r="D64" s="450">
        <v>282737</v>
      </c>
      <c r="E64" s="111">
        <v>325000</v>
      </c>
      <c r="G64" s="1"/>
      <c r="H64" s="1"/>
      <c r="I64" s="1"/>
      <c r="J64" s="1"/>
    </row>
    <row r="65" spans="2:11">
      <c r="B65" s="316"/>
      <c r="C65" s="450"/>
      <c r="D65" s="450"/>
      <c r="E65" s="111"/>
      <c r="G65" s="800" t="str">
        <f>CONCATENATE("Desired Carryover Into ",E1+1,"")</f>
        <v>Desired Carryover Into 2015</v>
      </c>
      <c r="H65" s="801"/>
      <c r="I65" s="801"/>
      <c r="J65" s="802"/>
    </row>
    <row r="66" spans="2:11">
      <c r="B66" s="316"/>
      <c r="C66" s="450"/>
      <c r="D66" s="450"/>
      <c r="E66" s="111"/>
      <c r="G66" s="648"/>
      <c r="H66" s="649"/>
      <c r="I66" s="650"/>
      <c r="J66" s="651"/>
    </row>
    <row r="67" spans="2:11">
      <c r="B67" s="316"/>
      <c r="C67" s="450"/>
      <c r="D67" s="450"/>
      <c r="E67" s="111"/>
      <c r="G67" s="652" t="s">
        <v>688</v>
      </c>
      <c r="H67" s="650"/>
      <c r="I67" s="650"/>
      <c r="J67" s="653">
        <v>0</v>
      </c>
    </row>
    <row r="68" spans="2:11">
      <c r="B68" s="316"/>
      <c r="C68" s="450"/>
      <c r="D68" s="450"/>
      <c r="E68" s="111"/>
      <c r="G68" s="648" t="s">
        <v>689</v>
      </c>
      <c r="H68" s="649"/>
      <c r="I68" s="649"/>
      <c r="J68" s="654" t="str">
        <f>IF(J67=0,"",ROUND((J67+E81-G80)/inputOth!E6*1000,3)-G85)</f>
        <v/>
      </c>
    </row>
    <row r="69" spans="2:11">
      <c r="B69" s="316"/>
      <c r="C69" s="450"/>
      <c r="D69" s="450"/>
      <c r="E69" s="111"/>
      <c r="G69" s="655" t="str">
        <f>CONCATENATE("",E1," Tot Exp/Non-Appr Must Be:")</f>
        <v>2014 Tot Exp/Non-Appr Must Be:</v>
      </c>
      <c r="H69" s="656"/>
      <c r="I69" s="657"/>
      <c r="J69" s="658">
        <f>IF(J67&gt;0,IF(E78&lt;E62,IF(J67=G80,E78,((J67-G80)*(1-D80))+E62),E78+(J67-G80)),0)</f>
        <v>0</v>
      </c>
    </row>
    <row r="70" spans="2:11">
      <c r="B70" s="316"/>
      <c r="C70" s="450"/>
      <c r="D70" s="450"/>
      <c r="E70" s="111"/>
      <c r="G70" s="659" t="s">
        <v>840</v>
      </c>
      <c r="H70" s="660"/>
      <c r="I70" s="660"/>
      <c r="J70" s="661">
        <f>IF(J67&gt;0,J69-E78,0)</f>
        <v>0</v>
      </c>
    </row>
    <row r="71" spans="2:11">
      <c r="B71" s="307" t="s">
        <v>77</v>
      </c>
      <c r="C71" s="450"/>
      <c r="D71" s="450"/>
      <c r="E71" s="119" t="str">
        <f>Nhood!E10</f>
        <v/>
      </c>
      <c r="G71" s="1"/>
      <c r="H71" s="1"/>
      <c r="I71" s="1"/>
      <c r="J71" s="1"/>
    </row>
    <row r="72" spans="2:11">
      <c r="B72" s="307" t="s">
        <v>75</v>
      </c>
      <c r="C72" s="450"/>
      <c r="D72" s="450"/>
      <c r="E72" s="111"/>
      <c r="G72" s="800" t="str">
        <f>CONCATENATE("Projected Carryover Into ",E1+1,"")</f>
        <v>Projected Carryover Into 2015</v>
      </c>
      <c r="H72" s="809"/>
      <c r="I72" s="809"/>
      <c r="J72" s="808"/>
    </row>
    <row r="73" spans="2:11">
      <c r="B73" s="307" t="s">
        <v>681</v>
      </c>
      <c r="C73" s="451" t="str">
        <f>IF(C74*0.1&lt;C72,"Exceed 10% Rule","")</f>
        <v/>
      </c>
      <c r="D73" s="451" t="str">
        <f>IF(D74*0.1&lt;D72,"Exceed 10% Rule","")</f>
        <v/>
      </c>
      <c r="E73" s="342" t="str">
        <f>IF(E74*0.1&lt;E72,"Exceed 10% Rule","")</f>
        <v/>
      </c>
      <c r="G73" s="686"/>
      <c r="H73" s="649"/>
      <c r="I73" s="649"/>
      <c r="J73" s="681"/>
    </row>
    <row r="74" spans="2:11">
      <c r="B74" s="309" t="s">
        <v>173</v>
      </c>
      <c r="C74" s="452">
        <f>SUM(C64:C72)</f>
        <v>353421</v>
      </c>
      <c r="D74" s="452">
        <f>SUM(D64:D72)</f>
        <v>282737</v>
      </c>
      <c r="E74" s="350">
        <f>SUM(E64:E72)</f>
        <v>325000</v>
      </c>
      <c r="G74" s="677">
        <f>D75</f>
        <v>22131</v>
      </c>
      <c r="H74" s="667" t="str">
        <f>CONCATENATE("",E1-1," Ending Cash Balance (est.)")</f>
        <v>2013 Ending Cash Balance (est.)</v>
      </c>
      <c r="I74" s="678"/>
      <c r="J74" s="681"/>
    </row>
    <row r="75" spans="2:11">
      <c r="B75" s="147" t="s">
        <v>279</v>
      </c>
      <c r="C75" s="455">
        <f>C62-C74</f>
        <v>31428</v>
      </c>
      <c r="D75" s="455">
        <f>D62-D74</f>
        <v>22131</v>
      </c>
      <c r="E75" s="335" t="s">
        <v>148</v>
      </c>
      <c r="G75" s="677">
        <f>E61</f>
        <v>46745.93</v>
      </c>
      <c r="H75" s="650" t="str">
        <f>CONCATENATE("",E1," Non-AV Receipts (est.)")</f>
        <v>2014 Non-AV Receipts (est.)</v>
      </c>
      <c r="I75" s="678"/>
      <c r="J75" s="681"/>
    </row>
    <row r="76" spans="2:11">
      <c r="B76" s="285" t="str">
        <f>CONCATENATE("",E$1-2,"/",E$1-1," Budget Authority Amount:")</f>
        <v>2012/2013 Budget Authority Amount:</v>
      </c>
      <c r="C76" s="277">
        <f>inputOth!B34</f>
        <v>282737</v>
      </c>
      <c r="D76" s="277">
        <f>inputPrYr!D20</f>
        <v>282737</v>
      </c>
      <c r="E76" s="335" t="s">
        <v>148</v>
      </c>
      <c r="F76" s="318"/>
      <c r="G76" s="679">
        <f>IF(E80&gt;0,E79,E81)</f>
        <v>270260.07</v>
      </c>
      <c r="H76" s="650" t="str">
        <f>CONCATENATE("",E1," Ad Valorem Tax (est.)")</f>
        <v>2014 Ad Valorem Tax (est.)</v>
      </c>
      <c r="I76" s="678"/>
      <c r="J76" s="681"/>
      <c r="K76" s="664" t="str">
        <f>IF(G76=E81,"","Note: Does not include Delinquent Taxes")</f>
        <v>Note: Does not include Delinquent Taxes</v>
      </c>
    </row>
    <row r="77" spans="2:11">
      <c r="B77" s="285"/>
      <c r="C77" s="790" t="s">
        <v>685</v>
      </c>
      <c r="D77" s="791"/>
      <c r="E77" s="111">
        <v>14137</v>
      </c>
      <c r="F77" s="500" t="str">
        <f>IF(E74/0.95-E74&lt;E77,"Exceeds 5%","")</f>
        <v/>
      </c>
      <c r="G77" s="687">
        <f>SUM(G74:G76)</f>
        <v>339137</v>
      </c>
      <c r="H77" s="650" t="str">
        <f>CONCATENATE("Total ",E1," Resources Available")</f>
        <v>Total 2014 Resources Available</v>
      </c>
      <c r="I77" s="688"/>
      <c r="J77" s="681"/>
    </row>
    <row r="78" spans="2:11">
      <c r="B78" s="503" t="str">
        <f>CONCATENATE(C94,"     ",D94)</f>
        <v xml:space="preserve">See Tab A     </v>
      </c>
      <c r="C78" s="792" t="s">
        <v>686</v>
      </c>
      <c r="D78" s="793"/>
      <c r="E78" s="263">
        <f>E74+E77</f>
        <v>339137</v>
      </c>
      <c r="G78" s="689"/>
      <c r="H78" s="690"/>
      <c r="I78" s="649"/>
      <c r="J78" s="681"/>
    </row>
    <row r="79" spans="2:11">
      <c r="B79" s="503" t="str">
        <f>CONCATENATE(C95,"     ",D95)</f>
        <v xml:space="preserve">     </v>
      </c>
      <c r="C79" s="319"/>
      <c r="D79" s="238" t="s">
        <v>174</v>
      </c>
      <c r="E79" s="119">
        <f>IF(E78-E62&gt;0,E78-E62,0)</f>
        <v>270260.07</v>
      </c>
      <c r="G79" s="691">
        <f>ROUND(C74*0.05+C74,0)</f>
        <v>371092</v>
      </c>
      <c r="H79" s="650" t="str">
        <f>CONCATENATE("Less ",E1-2," Expenditures + 5%")</f>
        <v>Less 2012 Expenditures + 5%</v>
      </c>
      <c r="I79" s="688"/>
      <c r="J79" s="681"/>
    </row>
    <row r="80" spans="2:11">
      <c r="B80" s="238"/>
      <c r="C80" s="502" t="s">
        <v>687</v>
      </c>
      <c r="D80" s="647">
        <f>inputOth!$E$23</f>
        <v>0.03</v>
      </c>
      <c r="E80" s="263">
        <f>ROUND(IF(D80&gt;0,($E$79*D80),0),0)</f>
        <v>8108</v>
      </c>
      <c r="G80" s="692">
        <f>G77-G79</f>
        <v>-31955</v>
      </c>
      <c r="H80" s="683" t="str">
        <f>CONCATENATE("Projected ",E1+1," carryover (est.)")</f>
        <v>Projected 2015 carryover (est.)</v>
      </c>
      <c r="I80" s="693"/>
      <c r="J80" s="694"/>
    </row>
    <row r="81" spans="2:10">
      <c r="B81" s="84"/>
      <c r="C81" s="798" t="str">
        <f>CONCATENATE("Amount of  ",$E$1-1," Ad Valorem Tax")</f>
        <v>Amount of  2013 Ad Valorem Tax</v>
      </c>
      <c r="D81" s="799"/>
      <c r="E81" s="346">
        <f>E79+E80</f>
        <v>278368.07</v>
      </c>
      <c r="G81" s="1"/>
      <c r="H81" s="1"/>
      <c r="I81" s="1"/>
      <c r="J81" s="1"/>
    </row>
    <row r="82" spans="2:10">
      <c r="B82" s="285" t="s">
        <v>188</v>
      </c>
      <c r="C82" s="347">
        <v>10</v>
      </c>
      <c r="D82" s="84"/>
      <c r="E82" s="84"/>
      <c r="G82" s="803" t="s">
        <v>841</v>
      </c>
      <c r="H82" s="804"/>
      <c r="I82" s="804"/>
      <c r="J82" s="805"/>
    </row>
    <row r="83" spans="2:10">
      <c r="G83" s="666"/>
      <c r="H83" s="667"/>
      <c r="I83" s="668"/>
      <c r="J83" s="669"/>
    </row>
    <row r="84" spans="2:10">
      <c r="G84" s="670">
        <f>summ!H20</f>
        <v>1.0347</v>
      </c>
      <c r="H84" s="667" t="str">
        <f>CONCATENATE("",E1," Fund Mill Rate")</f>
        <v>2014 Fund Mill Rate</v>
      </c>
      <c r="I84" s="668"/>
      <c r="J84" s="669"/>
    </row>
    <row r="85" spans="2:10">
      <c r="G85" s="671">
        <f>summ!E20</f>
        <v>1</v>
      </c>
      <c r="H85" s="667" t="str">
        <f>CONCATENATE("",E1-1," Fund Mill Rate")</f>
        <v>2013 Fund Mill Rate</v>
      </c>
      <c r="I85" s="668"/>
      <c r="J85" s="669"/>
    </row>
    <row r="86" spans="2:10">
      <c r="E86" s="382"/>
      <c r="G86" s="672">
        <f>summ!H61</f>
        <v>56.5124</v>
      </c>
      <c r="H86" s="667" t="str">
        <f>CONCATENATE("Total ",E1," Mill Rate")</f>
        <v>Total 2014 Mill Rate</v>
      </c>
      <c r="I86" s="668"/>
      <c r="J86" s="669"/>
    </row>
    <row r="87" spans="2:10">
      <c r="G87" s="671">
        <f>summ!E61</f>
        <v>63.972000000000008</v>
      </c>
      <c r="H87" s="673" t="str">
        <f>CONCATENATE("Total ",E1-1," Mill Rate")</f>
        <v>Total 2013 Mill Rate</v>
      </c>
      <c r="I87" s="674"/>
      <c r="J87" s="675"/>
    </row>
    <row r="92" spans="2:10" hidden="1">
      <c r="C92" s="71" t="str">
        <f>IF(C34&gt;C36,"See Tab A","")</f>
        <v>See Tab A</v>
      </c>
      <c r="D92" s="71" t="str">
        <f>IF(D34&gt;D36,"See Tab C","")</f>
        <v/>
      </c>
    </row>
    <row r="93" spans="2:10" hidden="1">
      <c r="C93" s="71" t="str">
        <f>IF(C35&lt;0,"See Tab B","")</f>
        <v>See Tab B</v>
      </c>
      <c r="D93" s="71" t="str">
        <f>IF(D35&lt;0,"See Tab D","")</f>
        <v/>
      </c>
    </row>
    <row r="94" spans="2:10" hidden="1">
      <c r="C94" s="71" t="str">
        <f>IF(C74&gt;C76,"See Tab A","")</f>
        <v>See Tab A</v>
      </c>
      <c r="D94" s="71" t="str">
        <f>IF(D74&gt;D76,"See Tab C","")</f>
        <v/>
      </c>
    </row>
    <row r="95" spans="2:10" hidden="1">
      <c r="C95" s="71" t="str">
        <f>IF(C75&lt;0,"See Tab B","")</f>
        <v/>
      </c>
      <c r="D95" s="71" t="str">
        <f>IF(D75&lt;0,"See Tab D","")</f>
        <v/>
      </c>
    </row>
  </sheetData>
  <mergeCells count="12">
    <mergeCell ref="G82:J82"/>
    <mergeCell ref="C37:D37"/>
    <mergeCell ref="C38:D38"/>
    <mergeCell ref="C77:D77"/>
    <mergeCell ref="C78:D78"/>
    <mergeCell ref="C81:D81"/>
    <mergeCell ref="C41:D41"/>
    <mergeCell ref="G25:J25"/>
    <mergeCell ref="G32:J32"/>
    <mergeCell ref="G42:J42"/>
    <mergeCell ref="G65:J65"/>
    <mergeCell ref="G72:J72"/>
  </mergeCells>
  <phoneticPr fontId="0" type="noConversion"/>
  <conditionalFormatting sqref="E72">
    <cfRule type="cellIs" dxfId="374" priority="4" stopIfTrue="1" operator="greaterThan">
      <formula>$E$74*0.1</formula>
    </cfRule>
  </conditionalFormatting>
  <conditionalFormatting sqref="E77">
    <cfRule type="cellIs" dxfId="373" priority="5" stopIfTrue="1" operator="greaterThan">
      <formula>$E$74/0.95-$E$74</formula>
    </cfRule>
  </conditionalFormatting>
  <conditionalFormatting sqref="E37">
    <cfRule type="cellIs" dxfId="372" priority="6" stopIfTrue="1" operator="greaterThan">
      <formula>$E$34/0.95-$E$34</formula>
    </cfRule>
  </conditionalFormatting>
  <conditionalFormatting sqref="E32">
    <cfRule type="cellIs" dxfId="371" priority="7" stopIfTrue="1" operator="greaterThan">
      <formula>$E$34*0.1</formula>
    </cfRule>
  </conditionalFormatting>
  <conditionalFormatting sqref="C34">
    <cfRule type="cellIs" dxfId="370" priority="8" stopIfTrue="1" operator="greaterThan">
      <formula>$C$36</formula>
    </cfRule>
  </conditionalFormatting>
  <conditionalFormatting sqref="C75 C35">
    <cfRule type="cellIs" dxfId="369" priority="9" stopIfTrue="1" operator="lessThan">
      <formula>0</formula>
    </cfRule>
  </conditionalFormatting>
  <conditionalFormatting sqref="D34">
    <cfRule type="cellIs" dxfId="368" priority="10" stopIfTrue="1" operator="greaterThan">
      <formula>$D$36</formula>
    </cfRule>
  </conditionalFormatting>
  <conditionalFormatting sqref="C74">
    <cfRule type="cellIs" dxfId="367" priority="11" stopIfTrue="1" operator="greaterThan">
      <formula>$C$76</formula>
    </cfRule>
  </conditionalFormatting>
  <conditionalFormatting sqref="D74">
    <cfRule type="cellIs" dxfId="366" priority="12" stopIfTrue="1" operator="greaterThan">
      <formula>$D$76</formula>
    </cfRule>
  </conditionalFormatting>
  <conditionalFormatting sqref="C72">
    <cfRule type="cellIs" dxfId="365" priority="13" stopIfTrue="1" operator="greaterThan">
      <formula>$C$74*0.1</formula>
    </cfRule>
  </conditionalFormatting>
  <conditionalFormatting sqref="D72">
    <cfRule type="cellIs" dxfId="364" priority="14" stopIfTrue="1" operator="greaterThan">
      <formula>$D$74*0.1</formula>
    </cfRule>
  </conditionalFormatting>
  <conditionalFormatting sqref="E59">
    <cfRule type="cellIs" dxfId="363" priority="15" stopIfTrue="1" operator="greaterThan">
      <formula>$E$61*0.1+E81</formula>
    </cfRule>
  </conditionalFormatting>
  <conditionalFormatting sqref="C59">
    <cfRule type="cellIs" dxfId="362" priority="16" stopIfTrue="1" operator="greaterThan">
      <formula>$C$61*0.1</formula>
    </cfRule>
  </conditionalFormatting>
  <conditionalFormatting sqref="D59">
    <cfRule type="cellIs" dxfId="361" priority="17" stopIfTrue="1" operator="greaterThan">
      <formula>$D$61*0.1</formula>
    </cfRule>
  </conditionalFormatting>
  <conditionalFormatting sqref="C32">
    <cfRule type="cellIs" dxfId="360" priority="18" stopIfTrue="1" operator="greaterThan">
      <formula>$C$34*0.1</formula>
    </cfRule>
  </conditionalFormatting>
  <conditionalFormatting sqref="D32">
    <cfRule type="cellIs" dxfId="359" priority="19" stopIfTrue="1" operator="greaterThan">
      <formula>$D$34*0.1</formula>
    </cfRule>
  </conditionalFormatting>
  <conditionalFormatting sqref="E19">
    <cfRule type="cellIs" dxfId="358" priority="20" stopIfTrue="1" operator="greaterThan">
      <formula>$E$21*0.1+E41</formula>
    </cfRule>
  </conditionalFormatting>
  <conditionalFormatting sqref="C19">
    <cfRule type="cellIs" dxfId="357" priority="21" stopIfTrue="1" operator="greaterThan">
      <formula>$C$21*0.1</formula>
    </cfRule>
  </conditionalFormatting>
  <conditionalFormatting sqref="D19">
    <cfRule type="cellIs" dxfId="356" priority="22" stopIfTrue="1" operator="greaterThan">
      <formula>$D$21*0.1</formula>
    </cfRule>
  </conditionalFormatting>
  <conditionalFormatting sqref="D35">
    <cfRule type="cellIs" dxfId="355" priority="2" stopIfTrue="1" operator="lessThan">
      <formula>0</formula>
    </cfRule>
    <cfRule type="cellIs" dxfId="354" priority="3" stopIfTrue="1" operator="lessThan">
      <formula>0</formula>
    </cfRule>
  </conditionalFormatting>
  <conditionalFormatting sqref="D75">
    <cfRule type="cellIs" dxfId="353" priority="1" stopIfTrue="1" operator="lessThan">
      <formula>0</formula>
    </cfRule>
  </conditionalFormatting>
  <pageMargins left="1.1200000000000001" right="0.5" top="0.74" bottom="0.34" header="0.5" footer="0"/>
  <pageSetup scale="53" orientation="portrait" blackAndWhite="1" horizontalDpi="120" verticalDpi="144" r:id="rId1"/>
  <headerFooter alignWithMargins="0">
    <oddHeader xml:space="preserve">&amp;RState of Kansas
County
</oddHeader>
  </headerFooter>
</worksheet>
</file>

<file path=xl/worksheets/sheet19.xml><?xml version="1.0" encoding="utf-8"?>
<worksheet xmlns="http://schemas.openxmlformats.org/spreadsheetml/2006/main" xmlns:r="http://schemas.openxmlformats.org/officeDocument/2006/relationships">
  <sheetPr codeName="Sheet14">
    <pageSetUpPr fitToPage="1"/>
  </sheetPr>
  <dimension ref="B1:K94"/>
  <sheetViews>
    <sheetView zoomScaleNormal="100" workbookViewId="0">
      <selection activeCell="E83" sqref="E83:E84"/>
    </sheetView>
  </sheetViews>
  <sheetFormatPr defaultRowHeight="15.75"/>
  <cols>
    <col min="1" max="1" width="2.44140625" style="71" customWidth="1"/>
    <col min="2" max="2" width="31.109375" style="71" customWidth="1"/>
    <col min="3" max="4" width="15.77734375" style="71" customWidth="1"/>
    <col min="5" max="5" width="16.10937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331"/>
      <c r="D3" s="331"/>
      <c r="E3" s="332"/>
    </row>
    <row r="4" spans="2:5">
      <c r="B4" s="83" t="s">
        <v>159</v>
      </c>
      <c r="C4" s="701" t="s">
        <v>842</v>
      </c>
      <c r="D4" s="702" t="s">
        <v>843</v>
      </c>
      <c r="E4" s="214" t="s">
        <v>844</v>
      </c>
    </row>
    <row r="5" spans="2:5">
      <c r="B5" s="482" t="str">
        <f>inputPrYr!B21</f>
        <v>Newman Hospital (25)</v>
      </c>
      <c r="C5" s="453" t="str">
        <f>CONCATENATE("Actual for ",E1-2,"")</f>
        <v>Actual for 2012</v>
      </c>
      <c r="D5" s="453" t="str">
        <f>CONCATENATE("Estimate for ",E1-1,"")</f>
        <v>Estimate for 2013</v>
      </c>
      <c r="E5" s="300" t="str">
        <f>CONCATENATE("Year for ",E1,"")</f>
        <v>Year for 2014</v>
      </c>
    </row>
    <row r="6" spans="2:5">
      <c r="B6" s="147" t="s">
        <v>278</v>
      </c>
      <c r="C6" s="450">
        <v>0</v>
      </c>
      <c r="D6" s="454">
        <f>C34</f>
        <v>0</v>
      </c>
      <c r="E6" s="263">
        <f>D34</f>
        <v>18159</v>
      </c>
    </row>
    <row r="7" spans="2:5">
      <c r="B7" s="288" t="s">
        <v>280</v>
      </c>
      <c r="C7" s="303"/>
      <c r="D7" s="303"/>
      <c r="E7" s="126"/>
    </row>
    <row r="8" spans="2:5">
      <c r="B8" s="147" t="s">
        <v>160</v>
      </c>
      <c r="C8" s="450"/>
      <c r="D8" s="454">
        <f>IF(inputPrYr!H21&gt;0,inputPrYr!H21,inputPrYr!E21)-18536</f>
        <v>382307</v>
      </c>
      <c r="E8" s="335" t="s">
        <v>148</v>
      </c>
    </row>
    <row r="9" spans="2:5">
      <c r="B9" s="147" t="s">
        <v>161</v>
      </c>
      <c r="C9" s="450" t="s">
        <v>189</v>
      </c>
      <c r="D9" s="450">
        <v>4270</v>
      </c>
      <c r="E9" s="111">
        <v>500</v>
      </c>
    </row>
    <row r="10" spans="2:5">
      <c r="B10" s="147" t="s">
        <v>162</v>
      </c>
      <c r="C10" s="450"/>
      <c r="D10" s="450">
        <v>56582</v>
      </c>
      <c r="E10" s="263">
        <f>mvalloc!E12</f>
        <v>56674.02</v>
      </c>
    </row>
    <row r="11" spans="2:5">
      <c r="B11" s="147" t="s">
        <v>163</v>
      </c>
      <c r="C11" s="450"/>
      <c r="D11" s="450">
        <v>0</v>
      </c>
      <c r="E11" s="263">
        <f>mvalloc!F12</f>
        <v>801.7</v>
      </c>
    </row>
    <row r="12" spans="2:5">
      <c r="B12" s="303" t="s">
        <v>227</v>
      </c>
      <c r="C12" s="450"/>
      <c r="D12" s="450"/>
      <c r="E12" s="263">
        <f>mvalloc!G12</f>
        <v>2447.7199999999998</v>
      </c>
    </row>
    <row r="13" spans="2:5">
      <c r="B13" s="316"/>
      <c r="C13" s="450"/>
      <c r="D13" s="450"/>
      <c r="E13" s="111"/>
    </row>
    <row r="14" spans="2:5">
      <c r="B14" s="316"/>
      <c r="C14" s="450"/>
      <c r="D14" s="450"/>
      <c r="E14" s="111"/>
    </row>
    <row r="15" spans="2:5">
      <c r="B15" s="316"/>
      <c r="C15" s="450"/>
      <c r="D15" s="450"/>
      <c r="E15" s="111"/>
    </row>
    <row r="16" spans="2:5">
      <c r="B16" s="316"/>
      <c r="C16" s="450"/>
      <c r="D16" s="450"/>
      <c r="E16" s="111"/>
    </row>
    <row r="17" spans="2:10">
      <c r="B17" s="306" t="s">
        <v>167</v>
      </c>
      <c r="C17" s="450"/>
      <c r="D17" s="450"/>
      <c r="E17" s="111"/>
    </row>
    <row r="18" spans="2:10">
      <c r="B18" s="307" t="s">
        <v>75</v>
      </c>
      <c r="C18" s="450"/>
      <c r="D18" s="450"/>
      <c r="E18" s="111"/>
    </row>
    <row r="19" spans="2:10">
      <c r="B19" s="307" t="s">
        <v>682</v>
      </c>
      <c r="C19" s="451" t="str">
        <f>IF(C20*0.1&lt;C18,"Exceed 10% Rule","")</f>
        <v/>
      </c>
      <c r="D19" s="451" t="str">
        <f>IF(D20*0.1&lt;D18,"Exceed 10% Rule","")</f>
        <v/>
      </c>
      <c r="E19" s="342" t="str">
        <f>IF(E20*0.1+E40&lt;E18,"Exceed 10% Rule","")</f>
        <v/>
      </c>
    </row>
    <row r="20" spans="2:10">
      <c r="B20" s="309" t="s">
        <v>168</v>
      </c>
      <c r="C20" s="452">
        <f>SUM(C8:C18)</f>
        <v>0</v>
      </c>
      <c r="D20" s="452">
        <f>SUM(D8:D18)</f>
        <v>443159</v>
      </c>
      <c r="E20" s="350">
        <f>SUM(E8:E18)</f>
        <v>60423.439999999995</v>
      </c>
    </row>
    <row r="21" spans="2:10">
      <c r="B21" s="309" t="s">
        <v>169</v>
      </c>
      <c r="C21" s="452">
        <f>C6+C20</f>
        <v>0</v>
      </c>
      <c r="D21" s="452">
        <f>D6+D20</f>
        <v>443159</v>
      </c>
      <c r="E21" s="350">
        <f>E6+E20</f>
        <v>78582.44</v>
      </c>
    </row>
    <row r="22" spans="2:10">
      <c r="B22" s="147" t="s">
        <v>172</v>
      </c>
      <c r="C22" s="307"/>
      <c r="D22" s="307"/>
      <c r="E22" s="107"/>
    </row>
    <row r="23" spans="2:10">
      <c r="B23" s="316" t="s">
        <v>966</v>
      </c>
      <c r="C23" s="450" t="s">
        <v>189</v>
      </c>
      <c r="D23" s="450">
        <v>425000</v>
      </c>
      <c r="E23" s="111">
        <v>425000</v>
      </c>
    </row>
    <row r="24" spans="2:10">
      <c r="B24" s="316"/>
      <c r="C24" s="450"/>
      <c r="D24" s="450"/>
      <c r="E24" s="111"/>
      <c r="G24" s="800" t="str">
        <f>CONCATENATE("Desired Carryover Into ",E1+1,"")</f>
        <v>Desired Carryover Into 2015</v>
      </c>
      <c r="H24" s="801"/>
      <c r="I24" s="801"/>
      <c r="J24" s="802"/>
    </row>
    <row r="25" spans="2:10">
      <c r="B25" s="316"/>
      <c r="C25" s="450"/>
      <c r="D25" s="450"/>
      <c r="E25" s="111"/>
      <c r="G25" s="648"/>
      <c r="H25" s="649"/>
      <c r="I25" s="650"/>
      <c r="J25" s="651"/>
    </row>
    <row r="26" spans="2:10">
      <c r="B26" s="316"/>
      <c r="C26" s="450"/>
      <c r="D26" s="450"/>
      <c r="E26" s="111"/>
      <c r="G26" s="652" t="s">
        <v>688</v>
      </c>
      <c r="H26" s="650"/>
      <c r="I26" s="650"/>
      <c r="J26" s="653">
        <v>0</v>
      </c>
    </row>
    <row r="27" spans="2:10">
      <c r="B27" s="316"/>
      <c r="C27" s="450"/>
      <c r="D27" s="450"/>
      <c r="E27" s="111"/>
      <c r="G27" s="648" t="s">
        <v>689</v>
      </c>
      <c r="H27" s="649"/>
      <c r="I27" s="649"/>
      <c r="J27" s="654" t="str">
        <f>IF(J26=0,"",ROUND((J26+E40-G39)/inputOth!E6*1000,3)-G44)</f>
        <v/>
      </c>
    </row>
    <row r="28" spans="2:10">
      <c r="B28" s="316"/>
      <c r="C28" s="450"/>
      <c r="D28" s="450"/>
      <c r="E28" s="111"/>
      <c r="G28" s="655" t="str">
        <f>CONCATENATE("",E1," Tot Exp/Non-Appr Must Be:")</f>
        <v>2014 Tot Exp/Non-Appr Must Be:</v>
      </c>
      <c r="H28" s="656"/>
      <c r="I28" s="657"/>
      <c r="J28" s="658">
        <f>IF(J26&gt;0,IF(E37&lt;E21,IF(J26=G39,E37,((J26-G39)*(1-D39))+E21),E37+(J26-G39)),0)</f>
        <v>0</v>
      </c>
    </row>
    <row r="29" spans="2:10">
      <c r="B29" s="316"/>
      <c r="C29" s="450"/>
      <c r="D29" s="450"/>
      <c r="E29" s="111"/>
      <c r="G29" s="659" t="s">
        <v>840</v>
      </c>
      <c r="H29" s="660"/>
      <c r="I29" s="660"/>
      <c r="J29" s="661">
        <f>IF(J26&gt;0,J28-E37,0)</f>
        <v>0</v>
      </c>
    </row>
    <row r="30" spans="2:10">
      <c r="B30" s="307" t="s">
        <v>77</v>
      </c>
      <c r="C30" s="450"/>
      <c r="D30" s="450"/>
      <c r="E30" s="119" t="str">
        <f>Nhood!E11</f>
        <v/>
      </c>
      <c r="G30" s="1"/>
      <c r="H30" s="1"/>
      <c r="I30" s="1"/>
      <c r="J30" s="1"/>
    </row>
    <row r="31" spans="2:10">
      <c r="B31" s="307" t="s">
        <v>75</v>
      </c>
      <c r="C31" s="450"/>
      <c r="D31" s="450"/>
      <c r="E31" s="111"/>
      <c r="G31" s="800" t="str">
        <f>CONCATENATE("Projected Carryover Into ",E1+1,"")</f>
        <v>Projected Carryover Into 2015</v>
      </c>
      <c r="H31" s="807"/>
      <c r="I31" s="807"/>
      <c r="J31" s="808"/>
    </row>
    <row r="32" spans="2:10">
      <c r="B32" s="307" t="s">
        <v>681</v>
      </c>
      <c r="C32" s="451" t="str">
        <f>IF(C33*0.1&lt;C31,"Exceed 10% Rule","")</f>
        <v/>
      </c>
      <c r="D32" s="451" t="str">
        <f>IF(D33*0.1&lt;D31,"Exceed 10% Rule","")</f>
        <v/>
      </c>
      <c r="E32" s="342" t="str">
        <f>IF(E33*0.1&lt;E31,"Exceed 10% Rule","")</f>
        <v/>
      </c>
      <c r="G32" s="648"/>
      <c r="H32" s="650"/>
      <c r="I32" s="650"/>
      <c r="J32" s="676"/>
    </row>
    <row r="33" spans="2:11">
      <c r="B33" s="309" t="s">
        <v>173</v>
      </c>
      <c r="C33" s="452">
        <f>SUM(C23:C31)</f>
        <v>0</v>
      </c>
      <c r="D33" s="452">
        <f>SUM(D23:D31)</f>
        <v>425000</v>
      </c>
      <c r="E33" s="350">
        <f>SUM(E23:E31)</f>
        <v>425000</v>
      </c>
      <c r="G33" s="677">
        <f>D34</f>
        <v>18159</v>
      </c>
      <c r="H33" s="667" t="str">
        <f>CONCATENATE("",E1-1," Ending Cash Balance (est.)")</f>
        <v>2013 Ending Cash Balance (est.)</v>
      </c>
      <c r="I33" s="678"/>
      <c r="J33" s="676"/>
    </row>
    <row r="34" spans="2:11">
      <c r="B34" s="147" t="s">
        <v>279</v>
      </c>
      <c r="C34" s="455">
        <f>C21-C33</f>
        <v>0</v>
      </c>
      <c r="D34" s="455">
        <f>D21-D33</f>
        <v>18159</v>
      </c>
      <c r="E34" s="335" t="s">
        <v>148</v>
      </c>
      <c r="G34" s="677">
        <f>E20</f>
        <v>60423.439999999995</v>
      </c>
      <c r="H34" s="650" t="str">
        <f>CONCATENATE("",E1," Non-AV Receipts (est.)")</f>
        <v>2014 Non-AV Receipts (est.)</v>
      </c>
      <c r="I34" s="678"/>
      <c r="J34" s="676"/>
    </row>
    <row r="35" spans="2:11">
      <c r="B35" s="285" t="str">
        <f>CONCATENATE("",E$1-2,"/",E$1-1," Budget Authority Amount:")</f>
        <v>2012/2013 Budget Authority Amount:</v>
      </c>
      <c r="C35" s="277">
        <f>inputOth!B35</f>
        <v>425000</v>
      </c>
      <c r="D35" s="277">
        <f>inputPrYr!D21</f>
        <v>425000</v>
      </c>
      <c r="E35" s="335" t="s">
        <v>148</v>
      </c>
      <c r="F35" s="318"/>
      <c r="G35" s="679">
        <f>IF(E39&gt;0,E38,E40)</f>
        <v>367917.56</v>
      </c>
      <c r="H35" s="650" t="str">
        <f>CONCATENATE("",E1," Ad Valorem Tax (est.)")</f>
        <v>2014 Ad Valorem Tax (est.)</v>
      </c>
      <c r="I35" s="678"/>
      <c r="J35" s="676"/>
      <c r="K35" s="664" t="str">
        <f>IF(G35=E40,"","Note: Does not include Delinquent Taxes")</f>
        <v>Note: Does not include Delinquent Taxes</v>
      </c>
    </row>
    <row r="36" spans="2:11">
      <c r="B36" s="285"/>
      <c r="C36" s="790" t="s">
        <v>685</v>
      </c>
      <c r="D36" s="791"/>
      <c r="E36" s="291">
        <v>21500</v>
      </c>
      <c r="F36" s="500" t="str">
        <f>IF(E33/0.95-E33&lt;E36,"Exceeds 5%","")</f>
        <v/>
      </c>
      <c r="G36" s="677">
        <f>SUM(G33:G35)</f>
        <v>446500</v>
      </c>
      <c r="H36" s="650" t="str">
        <f>CONCATENATE("Total ",E1," Resources Available")</f>
        <v>Total 2014 Resources Available</v>
      </c>
      <c r="I36" s="678"/>
      <c r="J36" s="676"/>
    </row>
    <row r="37" spans="2:11">
      <c r="B37" s="504" t="str">
        <f>CONCATENATE(C91,"     ",D91)</f>
        <v xml:space="preserve">     </v>
      </c>
      <c r="C37" s="792" t="s">
        <v>686</v>
      </c>
      <c r="D37" s="793"/>
      <c r="E37" s="263">
        <f>E33+E36</f>
        <v>446500</v>
      </c>
      <c r="G37" s="680"/>
      <c r="H37" s="650"/>
      <c r="I37" s="650"/>
      <c r="J37" s="676"/>
    </row>
    <row r="38" spans="2:11">
      <c r="B38" s="504" t="str">
        <f>CONCATENATE(C92,"     ",D92)</f>
        <v xml:space="preserve">     </v>
      </c>
      <c r="C38" s="319"/>
      <c r="D38" s="238" t="s">
        <v>174</v>
      </c>
      <c r="E38" s="119">
        <f>IF(E37-E21&gt;0,E37-E21,0)</f>
        <v>367917.56</v>
      </c>
      <c r="G38" s="679">
        <f>ROUND(C33*0.05+C33,0)</f>
        <v>0</v>
      </c>
      <c r="H38" s="650" t="str">
        <f>CONCATENATE("Less ",E1-2," Expenditures + 5%")</f>
        <v>Less 2012 Expenditures + 5%</v>
      </c>
      <c r="I38" s="678"/>
      <c r="J38" s="681"/>
    </row>
    <row r="39" spans="2:11">
      <c r="B39" s="238"/>
      <c r="C39" s="502" t="s">
        <v>687</v>
      </c>
      <c r="D39" s="647">
        <f>inputOth!$E$23</f>
        <v>0.03</v>
      </c>
      <c r="E39" s="263">
        <f>ROUND(IF(D39&gt;0,($E$38*D39),0),0)</f>
        <v>11038</v>
      </c>
      <c r="G39" s="682">
        <f>G36-G38</f>
        <v>446500</v>
      </c>
      <c r="H39" s="683" t="str">
        <f>CONCATENATE("Projected ",E1+1," carryover (est.)")</f>
        <v>Projected 2015 carryover (est.)</v>
      </c>
      <c r="I39" s="684"/>
      <c r="J39" s="685"/>
    </row>
    <row r="40" spans="2:11">
      <c r="B40" s="84"/>
      <c r="C40" s="798" t="str">
        <f>CONCATENATE("Amount of  ",$E$1-1," Ad Valorem Tax")</f>
        <v>Amount of  2013 Ad Valorem Tax</v>
      </c>
      <c r="D40" s="799"/>
      <c r="E40" s="346">
        <f>E38+E39</f>
        <v>378955.56</v>
      </c>
      <c r="G40" s="1"/>
      <c r="H40" s="1"/>
      <c r="I40" s="1"/>
      <c r="J40" s="1"/>
    </row>
    <row r="41" spans="2:11">
      <c r="B41" s="83" t="s">
        <v>159</v>
      </c>
      <c r="C41" s="325"/>
      <c r="D41" s="325"/>
      <c r="E41" s="325"/>
      <c r="G41" s="803" t="s">
        <v>841</v>
      </c>
      <c r="H41" s="804"/>
      <c r="I41" s="804"/>
      <c r="J41" s="805"/>
    </row>
    <row r="42" spans="2:11">
      <c r="B42" s="84"/>
      <c r="C42" s="701" t="str">
        <f t="shared" ref="C42:E43" si="0">C4</f>
        <v xml:space="preserve">Prior Year </v>
      </c>
      <c r="D42" s="702" t="str">
        <f t="shared" si="0"/>
        <v xml:space="preserve">Current Year </v>
      </c>
      <c r="E42" s="214" t="str">
        <f t="shared" si="0"/>
        <v xml:space="preserve">Proposed Budget </v>
      </c>
      <c r="G42" s="666"/>
      <c r="H42" s="667"/>
      <c r="I42" s="668"/>
      <c r="J42" s="669"/>
    </row>
    <row r="43" spans="2:11">
      <c r="B43" s="481" t="str">
        <f>inputPrYr!B22</f>
        <v>Noxious Weeds (26)</v>
      </c>
      <c r="C43" s="453" t="str">
        <f t="shared" si="0"/>
        <v>Actual for 2012</v>
      </c>
      <c r="D43" s="453" t="str">
        <f t="shared" si="0"/>
        <v>Estimate for 2013</v>
      </c>
      <c r="E43" s="300" t="str">
        <f t="shared" si="0"/>
        <v>Year for 2014</v>
      </c>
      <c r="G43" s="670">
        <f>summ!H21</f>
        <v>1.4086000000000001</v>
      </c>
      <c r="H43" s="667" t="str">
        <f>CONCATENATE("",E1," Fund Mill Rate")</f>
        <v>2014 Fund Mill Rate</v>
      </c>
      <c r="I43" s="668"/>
      <c r="J43" s="669"/>
    </row>
    <row r="44" spans="2:11">
      <c r="B44" s="147" t="s">
        <v>278</v>
      </c>
      <c r="C44" s="450">
        <v>18806</v>
      </c>
      <c r="D44" s="454">
        <f>C74</f>
        <v>-17221</v>
      </c>
      <c r="E44" s="263">
        <f>D74</f>
        <v>7890</v>
      </c>
      <c r="G44" s="671">
        <f>summ!E21</f>
        <v>1.71</v>
      </c>
      <c r="H44" s="667" t="str">
        <f>CONCATENATE("",E1-1," Fund Mill Rate")</f>
        <v>2013 Fund Mill Rate</v>
      </c>
      <c r="I44" s="668"/>
      <c r="J44" s="669"/>
    </row>
    <row r="45" spans="2:11">
      <c r="B45" s="301" t="s">
        <v>280</v>
      </c>
      <c r="C45" s="303"/>
      <c r="D45" s="303"/>
      <c r="E45" s="126"/>
      <c r="G45" s="672">
        <f>summ!H61</f>
        <v>56.5124</v>
      </c>
      <c r="H45" s="667" t="str">
        <f>CONCATENATE("Total ",E1," Mill Rate")</f>
        <v>Total 2014 Mill Rate</v>
      </c>
      <c r="I45" s="668"/>
      <c r="J45" s="669"/>
    </row>
    <row r="46" spans="2:11">
      <c r="B46" s="147" t="s">
        <v>160</v>
      </c>
      <c r="C46" s="450">
        <v>78731</v>
      </c>
      <c r="D46" s="454">
        <f>IF(inputPrYr!H22&gt;0,inputPrYr!H22,inputPrYr!E22)+268</f>
        <v>157388</v>
      </c>
      <c r="E46" s="335" t="s">
        <v>148</v>
      </c>
      <c r="G46" s="671">
        <f>summ!E61</f>
        <v>63.972000000000008</v>
      </c>
      <c r="H46" s="673" t="str">
        <f>CONCATENATE("Total ",E1-1," Mill Rate")</f>
        <v>Total 2013 Mill Rate</v>
      </c>
      <c r="I46" s="674"/>
      <c r="J46" s="675"/>
    </row>
    <row r="47" spans="2:11">
      <c r="B47" s="147" t="s">
        <v>161</v>
      </c>
      <c r="C47" s="450">
        <v>2130</v>
      </c>
      <c r="D47" s="450">
        <v>2000</v>
      </c>
      <c r="E47" s="111">
        <v>2000</v>
      </c>
      <c r="G47" s="1"/>
      <c r="H47" s="1"/>
      <c r="I47" s="1"/>
      <c r="J47" s="1"/>
    </row>
    <row r="48" spans="2:11">
      <c r="B48" s="147" t="s">
        <v>162</v>
      </c>
      <c r="C48" s="450">
        <v>14599</v>
      </c>
      <c r="D48" s="450">
        <v>10000</v>
      </c>
      <c r="E48" s="263">
        <f>mvalloc!E13</f>
        <v>10089.9</v>
      </c>
      <c r="G48" s="1">
        <v>378956</v>
      </c>
      <c r="H48" s="1"/>
      <c r="I48" s="1"/>
      <c r="J48" s="1"/>
    </row>
    <row r="49" spans="2:10">
      <c r="B49" s="147" t="s">
        <v>163</v>
      </c>
      <c r="C49" s="450"/>
      <c r="D49" s="450"/>
      <c r="E49" s="263">
        <f>mvalloc!F13</f>
        <v>142.72999999999999</v>
      </c>
      <c r="G49" s="742">
        <f>+G48-E40</f>
        <v>0.44000000000232831</v>
      </c>
      <c r="H49" s="1"/>
      <c r="I49" s="1"/>
      <c r="J49" s="1"/>
    </row>
    <row r="50" spans="2:10">
      <c r="B50" s="303" t="s">
        <v>227</v>
      </c>
      <c r="C50" s="450"/>
      <c r="D50" s="450"/>
      <c r="E50" s="263">
        <f>mvalloc!G13</f>
        <v>435.78</v>
      </c>
      <c r="G50" s="1"/>
      <c r="H50" s="1"/>
      <c r="I50" s="1"/>
      <c r="J50" s="1"/>
    </row>
    <row r="51" spans="2:10">
      <c r="B51" s="316" t="s">
        <v>980</v>
      </c>
      <c r="C51" s="450">
        <v>142391</v>
      </c>
      <c r="D51" s="450">
        <v>145000</v>
      </c>
      <c r="E51" s="111">
        <v>145000</v>
      </c>
      <c r="G51" s="1"/>
      <c r="H51" s="1"/>
      <c r="I51" s="1"/>
      <c r="J51" s="1"/>
    </row>
    <row r="52" spans="2:10">
      <c r="B52" s="316" t="s">
        <v>981</v>
      </c>
      <c r="C52" s="450">
        <v>0</v>
      </c>
      <c r="D52" s="450">
        <v>2000</v>
      </c>
      <c r="E52" s="111">
        <v>2000</v>
      </c>
      <c r="G52" s="1"/>
      <c r="H52" s="1"/>
      <c r="I52" s="1"/>
      <c r="J52" s="1"/>
    </row>
    <row r="53" spans="2:10">
      <c r="B53" s="316" t="s">
        <v>982</v>
      </c>
      <c r="C53" s="450">
        <v>0</v>
      </c>
      <c r="D53" s="450">
        <v>2000</v>
      </c>
      <c r="E53" s="111">
        <v>2000</v>
      </c>
      <c r="G53" s="1"/>
      <c r="H53" s="1"/>
      <c r="I53" s="1"/>
      <c r="J53" s="1"/>
    </row>
    <row r="54" spans="2:10">
      <c r="B54" s="316"/>
      <c r="C54" s="450"/>
      <c r="D54" s="450"/>
      <c r="E54" s="111"/>
      <c r="G54" s="1"/>
      <c r="H54" s="1"/>
      <c r="I54" s="1"/>
      <c r="J54" s="1"/>
    </row>
    <row r="55" spans="2:10">
      <c r="B55" s="316"/>
      <c r="C55" s="450"/>
      <c r="D55" s="450"/>
      <c r="E55" s="111"/>
      <c r="G55" s="1"/>
      <c r="H55" s="1"/>
      <c r="I55" s="1"/>
      <c r="J55" s="1"/>
    </row>
    <row r="56" spans="2:10">
      <c r="B56" s="316"/>
      <c r="C56" s="450"/>
      <c r="D56" s="450"/>
      <c r="E56" s="111"/>
      <c r="G56" s="1"/>
      <c r="H56" s="1"/>
      <c r="I56" s="1"/>
      <c r="J56" s="1"/>
    </row>
    <row r="57" spans="2:10">
      <c r="B57" s="306" t="s">
        <v>167</v>
      </c>
      <c r="C57" s="450"/>
      <c r="D57" s="450"/>
      <c r="E57" s="111"/>
      <c r="G57" s="1"/>
      <c r="H57" s="1"/>
      <c r="I57" s="1"/>
      <c r="J57" s="1"/>
    </row>
    <row r="58" spans="2:10">
      <c r="B58" s="307" t="s">
        <v>75</v>
      </c>
      <c r="C58" s="450">
        <v>0</v>
      </c>
      <c r="D58" s="450">
        <v>0</v>
      </c>
      <c r="E58" s="111"/>
      <c r="G58" s="1"/>
      <c r="H58" s="1"/>
      <c r="I58" s="1"/>
      <c r="J58" s="1"/>
    </row>
    <row r="59" spans="2:10">
      <c r="B59" s="307" t="s">
        <v>682</v>
      </c>
      <c r="C59" s="451" t="str">
        <f>IF(C60*0.1&lt;C58,"Exceed 10% Rule","")</f>
        <v/>
      </c>
      <c r="D59" s="451" t="str">
        <f>IF(D60*0.1&lt;D58,"Exceed 10% Rule","")</f>
        <v/>
      </c>
      <c r="E59" s="342" t="str">
        <f>IF(E60*0.1+E80&lt;E58,"Exceed 10% Rule","")</f>
        <v/>
      </c>
      <c r="G59" s="1"/>
      <c r="H59" s="1"/>
      <c r="I59" s="1"/>
      <c r="J59" s="1"/>
    </row>
    <row r="60" spans="2:10">
      <c r="B60" s="309" t="s">
        <v>168</v>
      </c>
      <c r="C60" s="452">
        <f>SUM(C46:C58)</f>
        <v>237851</v>
      </c>
      <c r="D60" s="452">
        <f>SUM(D46:D58)</f>
        <v>318388</v>
      </c>
      <c r="E60" s="350">
        <f>SUM(E47:E58)</f>
        <v>161668.41</v>
      </c>
      <c r="G60" s="1"/>
      <c r="H60" s="1"/>
      <c r="I60" s="1"/>
      <c r="J60" s="1"/>
    </row>
    <row r="61" spans="2:10">
      <c r="B61" s="309" t="s">
        <v>169</v>
      </c>
      <c r="C61" s="452">
        <f>C44+C60</f>
        <v>256657</v>
      </c>
      <c r="D61" s="452">
        <f>D44+D60</f>
        <v>301167</v>
      </c>
      <c r="E61" s="350">
        <f>E44+E60</f>
        <v>169558.41</v>
      </c>
      <c r="G61" s="1"/>
      <c r="H61" s="1"/>
      <c r="I61" s="1"/>
      <c r="J61" s="1"/>
    </row>
    <row r="62" spans="2:10">
      <c r="B62" s="147" t="s">
        <v>172</v>
      </c>
      <c r="C62" s="307"/>
      <c r="D62" s="307"/>
      <c r="E62" s="107"/>
      <c r="G62" s="1"/>
      <c r="H62" s="1"/>
      <c r="I62" s="1"/>
      <c r="J62" s="1"/>
    </row>
    <row r="63" spans="2:10">
      <c r="B63" s="316" t="s">
        <v>983</v>
      </c>
      <c r="C63" s="450">
        <v>107478</v>
      </c>
      <c r="D63" s="450">
        <v>111477</v>
      </c>
      <c r="E63" s="111">
        <v>126395</v>
      </c>
      <c r="G63" s="1"/>
      <c r="H63" s="1"/>
      <c r="I63" s="1"/>
      <c r="J63" s="1"/>
    </row>
    <row r="64" spans="2:10">
      <c r="B64" s="316" t="s">
        <v>984</v>
      </c>
      <c r="C64" s="450">
        <v>8076</v>
      </c>
      <c r="D64" s="450">
        <v>11550</v>
      </c>
      <c r="E64" s="111">
        <v>11600</v>
      </c>
      <c r="G64" s="800" t="str">
        <f>CONCATENATE("Desired Carryover Into ",E1+1,"")</f>
        <v>Desired Carryover Into 2015</v>
      </c>
      <c r="H64" s="801"/>
      <c r="I64" s="801"/>
      <c r="J64" s="802"/>
    </row>
    <row r="65" spans="2:11">
      <c r="B65" s="316" t="s">
        <v>974</v>
      </c>
      <c r="C65" s="450">
        <v>158124</v>
      </c>
      <c r="D65" s="450">
        <v>170250</v>
      </c>
      <c r="E65" s="111">
        <v>174250</v>
      </c>
      <c r="G65" s="648"/>
      <c r="H65" s="649"/>
      <c r="I65" s="650"/>
      <c r="J65" s="651"/>
    </row>
    <row r="66" spans="2:11">
      <c r="B66" s="316"/>
      <c r="C66" s="450"/>
      <c r="D66" s="450"/>
      <c r="E66" s="111"/>
      <c r="G66" s="652" t="s">
        <v>688</v>
      </c>
      <c r="H66" s="650"/>
      <c r="I66" s="650"/>
      <c r="J66" s="653">
        <v>0</v>
      </c>
    </row>
    <row r="67" spans="2:11">
      <c r="B67" s="316"/>
      <c r="C67" s="450"/>
      <c r="D67" s="450"/>
      <c r="E67" s="111"/>
      <c r="G67" s="648" t="s">
        <v>689</v>
      </c>
      <c r="H67" s="649"/>
      <c r="I67" s="649"/>
      <c r="J67" s="654" t="str">
        <f>IF(J66=0,"",ROUND((J66+E80-G79)/inputOth!E6*1000,3)-G84)</f>
        <v/>
      </c>
    </row>
    <row r="68" spans="2:11">
      <c r="B68" s="316"/>
      <c r="C68" s="450"/>
      <c r="D68" s="450"/>
      <c r="E68" s="111"/>
      <c r="G68" s="655" t="str">
        <f>CONCATENATE("",E1," Tot Exp/Non-Appr Must Be:")</f>
        <v>2014 Tot Exp/Non-Appr Must Be:</v>
      </c>
      <c r="H68" s="656"/>
      <c r="I68" s="657"/>
      <c r="J68" s="658">
        <f>IF(J66&gt;0,IF(E77&lt;E61,IF(J66=G79,E77,((J66-G79)*(1-D79))+E61),E77+(J66-G79)),0)</f>
        <v>0</v>
      </c>
    </row>
    <row r="69" spans="2:11">
      <c r="B69" s="316"/>
      <c r="C69" s="450"/>
      <c r="D69" s="450"/>
      <c r="E69" s="111"/>
      <c r="G69" s="659" t="s">
        <v>840</v>
      </c>
      <c r="H69" s="660"/>
      <c r="I69" s="660"/>
      <c r="J69" s="661">
        <f>IF(J66&gt;0,J68-E77,0)</f>
        <v>0</v>
      </c>
    </row>
    <row r="70" spans="2:11">
      <c r="B70" s="307" t="s">
        <v>77</v>
      </c>
      <c r="C70" s="450"/>
      <c r="D70" s="450"/>
      <c r="E70" s="119" t="str">
        <f>Nhood!E12</f>
        <v/>
      </c>
      <c r="G70" s="1"/>
      <c r="H70" s="1"/>
      <c r="I70" s="1"/>
      <c r="J70" s="1"/>
    </row>
    <row r="71" spans="2:11">
      <c r="B71" s="307" t="s">
        <v>75</v>
      </c>
      <c r="C71" s="450">
        <v>200</v>
      </c>
      <c r="D71" s="450"/>
      <c r="E71" s="111"/>
      <c r="G71" s="800" t="str">
        <f>CONCATENATE("Projected Carryover Into ",E1+1,"")</f>
        <v>Projected Carryover Into 2015</v>
      </c>
      <c r="H71" s="809"/>
      <c r="I71" s="809"/>
      <c r="J71" s="808"/>
    </row>
    <row r="72" spans="2:11">
      <c r="B72" s="307" t="s">
        <v>681</v>
      </c>
      <c r="C72" s="451" t="str">
        <f>IF(C73*0.1&lt;C71,"Exceed 10% Rule","")</f>
        <v/>
      </c>
      <c r="D72" s="451" t="str">
        <f>IF(D73*0.1&lt;D71,"Exceed 10% Rule","")</f>
        <v/>
      </c>
      <c r="E72" s="342" t="str">
        <f>IF(E73*0.1&lt;E71,"Exceed 10% Rule","")</f>
        <v/>
      </c>
      <c r="G72" s="686"/>
      <c r="H72" s="649"/>
      <c r="I72" s="649"/>
      <c r="J72" s="681"/>
    </row>
    <row r="73" spans="2:11">
      <c r="B73" s="309" t="s">
        <v>173</v>
      </c>
      <c r="C73" s="452">
        <f>SUM(C63:C71)</f>
        <v>273878</v>
      </c>
      <c r="D73" s="452">
        <f>SUM(D63:D71)</f>
        <v>293277</v>
      </c>
      <c r="E73" s="350">
        <f>SUM(E63:E71)</f>
        <v>312245</v>
      </c>
      <c r="G73" s="677">
        <f>D74</f>
        <v>7890</v>
      </c>
      <c r="H73" s="667" t="str">
        <f>CONCATENATE("",E1-1," Ending Cash Balance (est.)")</f>
        <v>2013 Ending Cash Balance (est.)</v>
      </c>
      <c r="I73" s="678"/>
      <c r="J73" s="681"/>
    </row>
    <row r="74" spans="2:11">
      <c r="B74" s="147" t="s">
        <v>279</v>
      </c>
      <c r="C74" s="455">
        <f>C61-C73</f>
        <v>-17221</v>
      </c>
      <c r="D74" s="455">
        <f>D61-D73</f>
        <v>7890</v>
      </c>
      <c r="E74" s="335" t="s">
        <v>148</v>
      </c>
      <c r="G74" s="677">
        <f>E60</f>
        <v>161668.41</v>
      </c>
      <c r="H74" s="650" t="str">
        <f>CONCATENATE("",E1," Non-AV Receipts (est.)")</f>
        <v>2014 Non-AV Receipts (est.)</v>
      </c>
      <c r="I74" s="678"/>
      <c r="J74" s="681"/>
    </row>
    <row r="75" spans="2:11">
      <c r="B75" s="285" t="str">
        <f>CONCATENATE("",E$1-2,"/",E$1-1," Budget Authority Amount:")</f>
        <v>2012/2013 Budget Authority Amount:</v>
      </c>
      <c r="C75" s="277">
        <f>inputOth!B36</f>
        <v>306750</v>
      </c>
      <c r="D75" s="277">
        <f>inputPrYr!D22</f>
        <v>306750</v>
      </c>
      <c r="E75" s="335" t="s">
        <v>148</v>
      </c>
      <c r="F75" s="318"/>
      <c r="G75" s="679">
        <f>IF(E79&gt;0,E78,E80)</f>
        <v>158298.59</v>
      </c>
      <c r="H75" s="650" t="str">
        <f>CONCATENATE("",E1," Ad Valorem Tax (est.)")</f>
        <v>2014 Ad Valorem Tax (est.)</v>
      </c>
      <c r="I75" s="678"/>
      <c r="J75" s="681"/>
      <c r="K75" s="664" t="str">
        <f>IF(G75=E80,"","Note: Does not include Delinquent Taxes")</f>
        <v>Note: Does not include Delinquent Taxes</v>
      </c>
    </row>
    <row r="76" spans="2:11">
      <c r="B76" s="285"/>
      <c r="C76" s="790" t="s">
        <v>685</v>
      </c>
      <c r="D76" s="791"/>
      <c r="E76" s="111">
        <v>15612</v>
      </c>
      <c r="F76" s="500" t="str">
        <f>IF(E73/0.95-E73&lt;E76,"Exceeds 5%","")</f>
        <v/>
      </c>
      <c r="G76" s="687">
        <f>SUM(G73:G75)</f>
        <v>327857</v>
      </c>
      <c r="H76" s="650" t="str">
        <f>CONCATENATE("Total ",E1," Resources Available")</f>
        <v>Total 2014 Resources Available</v>
      </c>
      <c r="I76" s="688"/>
      <c r="J76" s="681"/>
    </row>
    <row r="77" spans="2:11">
      <c r="B77" s="503" t="str">
        <f>CONCATENATE(C93,"     ",D93)</f>
        <v xml:space="preserve">     </v>
      </c>
      <c r="C77" s="792" t="s">
        <v>686</v>
      </c>
      <c r="D77" s="793"/>
      <c r="E77" s="263">
        <f>E73+E76</f>
        <v>327857</v>
      </c>
      <c r="G77" s="689"/>
      <c r="H77" s="690"/>
      <c r="I77" s="649"/>
      <c r="J77" s="681"/>
    </row>
    <row r="78" spans="2:11">
      <c r="B78" s="503" t="str">
        <f>CONCATENATE(C94,"     ",D94)</f>
        <v xml:space="preserve">See Tab B     </v>
      </c>
      <c r="C78" s="319"/>
      <c r="D78" s="238" t="s">
        <v>174</v>
      </c>
      <c r="E78" s="119">
        <f>IF(E77-E61&gt;0,E77-E61,0)</f>
        <v>158298.59</v>
      </c>
      <c r="G78" s="691">
        <f>ROUND(C73*0.05+C73,0)</f>
        <v>287572</v>
      </c>
      <c r="H78" s="650" t="str">
        <f>CONCATENATE("Less ",E1-2," Expenditures + 5%")</f>
        <v>Less 2012 Expenditures + 5%</v>
      </c>
      <c r="I78" s="688"/>
      <c r="J78" s="681"/>
    </row>
    <row r="79" spans="2:11">
      <c r="B79" s="238"/>
      <c r="C79" s="502" t="s">
        <v>687</v>
      </c>
      <c r="D79" s="647">
        <f>inputOth!$E$23</f>
        <v>0.03</v>
      </c>
      <c r="E79" s="263">
        <f>ROUND(IF(D79&gt;0,($E$78*D79),0),0)</f>
        <v>4749</v>
      </c>
      <c r="G79" s="692">
        <f>G76-G78</f>
        <v>40285</v>
      </c>
      <c r="H79" s="683" t="str">
        <f>CONCATENATE("Projected ",E1+1," carryover (est.)")</f>
        <v>Projected 2015 carryover (est.)</v>
      </c>
      <c r="I79" s="693"/>
      <c r="J79" s="694"/>
    </row>
    <row r="80" spans="2:11">
      <c r="B80" s="84"/>
      <c r="C80" s="798" t="str">
        <f>CONCATENATE("Amount of  ",$E$1-1," Ad Valorem Tax")</f>
        <v>Amount of  2013 Ad Valorem Tax</v>
      </c>
      <c r="D80" s="799"/>
      <c r="E80" s="346">
        <f>E78+E79</f>
        <v>163047.59</v>
      </c>
      <c r="G80" s="1"/>
      <c r="H80" s="1"/>
      <c r="I80" s="1"/>
      <c r="J80" s="1"/>
    </row>
    <row r="81" spans="2:10">
      <c r="B81" s="285" t="s">
        <v>188</v>
      </c>
      <c r="C81" s="347">
        <v>11</v>
      </c>
      <c r="D81" s="84"/>
      <c r="E81" s="84"/>
      <c r="G81" s="803" t="s">
        <v>841</v>
      </c>
      <c r="H81" s="804"/>
      <c r="I81" s="804"/>
      <c r="J81" s="805"/>
    </row>
    <row r="82" spans="2:10">
      <c r="G82" s="666"/>
      <c r="H82" s="667"/>
      <c r="I82" s="668"/>
      <c r="J82" s="669"/>
    </row>
    <row r="83" spans="2:10">
      <c r="E83" s="382"/>
      <c r="G83" s="670">
        <f>summ!H22</f>
        <v>0.60609999999999997</v>
      </c>
      <c r="H83" s="667" t="str">
        <f>CONCATENATE("",E1," Fund Mill Rate")</f>
        <v>2014 Fund Mill Rate</v>
      </c>
      <c r="I83" s="668"/>
      <c r="J83" s="669"/>
    </row>
    <row r="84" spans="2:10">
      <c r="E84" s="382"/>
      <c r="G84" s="671">
        <f>summ!E22</f>
        <v>0.67</v>
      </c>
      <c r="H84" s="667" t="str">
        <f>CONCATENATE("",E1-1," Fund Mill Rate")</f>
        <v>2013 Fund Mill Rate</v>
      </c>
      <c r="I84" s="668"/>
      <c r="J84" s="669"/>
    </row>
    <row r="85" spans="2:10">
      <c r="G85" s="672">
        <f>summ!H61</f>
        <v>56.5124</v>
      </c>
      <c r="H85" s="667" t="str">
        <f>CONCATENATE("Total ",E1," Mill Rate")</f>
        <v>Total 2014 Mill Rate</v>
      </c>
      <c r="I85" s="668"/>
      <c r="J85" s="669"/>
    </row>
    <row r="86" spans="2:10">
      <c r="G86" s="671">
        <f>summ!E61</f>
        <v>63.972000000000008</v>
      </c>
      <c r="H86" s="673" t="str">
        <f>CONCATENATE("Total ",E1-1," Mill Rate")</f>
        <v>Total 2013 Mill Rate</v>
      </c>
      <c r="I86" s="674"/>
      <c r="J86" s="675"/>
    </row>
    <row r="91" spans="2:10" hidden="1">
      <c r="C91" s="71" t="str">
        <f>IF(C33&gt;C35,"See Tab A","")</f>
        <v/>
      </c>
      <c r="D91" s="71" t="str">
        <f>IF(D33&gt;D35,"See Tab C","")</f>
        <v/>
      </c>
    </row>
    <row r="92" spans="2:10" hidden="1">
      <c r="C92" s="71" t="str">
        <f>IF(C34&lt;0,"See Tab B","")</f>
        <v/>
      </c>
      <c r="D92" s="71" t="str">
        <f>IF(D34&lt;0,"See Tab D","")</f>
        <v/>
      </c>
    </row>
    <row r="93" spans="2:10" hidden="1">
      <c r="C93" s="71" t="str">
        <f>IF(C73&gt;C75,"See Tab A","")</f>
        <v/>
      </c>
      <c r="D93" s="71" t="str">
        <f>IF(D73&gt;D75,"See Tab C","")</f>
        <v/>
      </c>
    </row>
    <row r="94" spans="2:10" hidden="1">
      <c r="C94" s="71" t="str">
        <f>IF(C74&lt;0,"See Tab B","")</f>
        <v>See Tab B</v>
      </c>
      <c r="D94" s="71" t="str">
        <f>IF(D74&lt;0,"See Tab D","")</f>
        <v/>
      </c>
    </row>
  </sheetData>
  <mergeCells count="12">
    <mergeCell ref="G81:J81"/>
    <mergeCell ref="C36:D36"/>
    <mergeCell ref="C37:D37"/>
    <mergeCell ref="C76:D76"/>
    <mergeCell ref="C77:D77"/>
    <mergeCell ref="C80:D80"/>
    <mergeCell ref="C40:D40"/>
    <mergeCell ref="G24:J24"/>
    <mergeCell ref="G31:J31"/>
    <mergeCell ref="G41:J41"/>
    <mergeCell ref="G64:J64"/>
    <mergeCell ref="G71:J71"/>
  </mergeCells>
  <phoneticPr fontId="0" type="noConversion"/>
  <conditionalFormatting sqref="E71">
    <cfRule type="cellIs" dxfId="352" priority="3" stopIfTrue="1" operator="greaterThan">
      <formula>$E$73*0.1</formula>
    </cfRule>
  </conditionalFormatting>
  <conditionalFormatting sqref="E76">
    <cfRule type="cellIs" dxfId="351" priority="4" stopIfTrue="1" operator="greaterThan">
      <formula>$E$73/0.95-$E$73</formula>
    </cfRule>
  </conditionalFormatting>
  <conditionalFormatting sqref="E36">
    <cfRule type="cellIs" dxfId="350" priority="5" stopIfTrue="1" operator="greaterThan">
      <formula>$E$33/0.95-$E$33</formula>
    </cfRule>
  </conditionalFormatting>
  <conditionalFormatting sqref="E31">
    <cfRule type="cellIs" dxfId="349" priority="6" stopIfTrue="1" operator="greaterThan">
      <formula>$E$33*0.1</formula>
    </cfRule>
  </conditionalFormatting>
  <conditionalFormatting sqref="C33">
    <cfRule type="cellIs" dxfId="348" priority="7" stopIfTrue="1" operator="greaterThan">
      <formula>$C$35</formula>
    </cfRule>
  </conditionalFormatting>
  <conditionalFormatting sqref="C74 C34">
    <cfRule type="cellIs" dxfId="347" priority="8" stopIfTrue="1" operator="lessThan">
      <formula>0</formula>
    </cfRule>
  </conditionalFormatting>
  <conditionalFormatting sqref="D33">
    <cfRule type="cellIs" dxfId="346" priority="9" stopIfTrue="1" operator="greaterThan">
      <formula>$D$35</formula>
    </cfRule>
  </conditionalFormatting>
  <conditionalFormatting sqref="C73">
    <cfRule type="cellIs" dxfId="345" priority="10" stopIfTrue="1" operator="greaterThan">
      <formula>$C$75</formula>
    </cfRule>
  </conditionalFormatting>
  <conditionalFormatting sqref="D73">
    <cfRule type="cellIs" dxfId="344" priority="11" stopIfTrue="1" operator="greaterThan">
      <formula>$D$75</formula>
    </cfRule>
  </conditionalFormatting>
  <conditionalFormatting sqref="C71">
    <cfRule type="cellIs" dxfId="343" priority="12" stopIfTrue="1" operator="greaterThan">
      <formula>$C$73*0.1</formula>
    </cfRule>
  </conditionalFormatting>
  <conditionalFormatting sqref="D71">
    <cfRule type="cellIs" dxfId="342" priority="13" stopIfTrue="1" operator="greaterThan">
      <formula>$D$73*0.1</formula>
    </cfRule>
  </conditionalFormatting>
  <conditionalFormatting sqref="E58">
    <cfRule type="cellIs" dxfId="341" priority="14" stopIfTrue="1" operator="greaterThan">
      <formula>$E$60*0.1+E80</formula>
    </cfRule>
  </conditionalFormatting>
  <conditionalFormatting sqref="C58">
    <cfRule type="cellIs" dxfId="340" priority="15" stopIfTrue="1" operator="greaterThan">
      <formula>$C$60*0.1</formula>
    </cfRule>
  </conditionalFormatting>
  <conditionalFormatting sqref="D58">
    <cfRule type="cellIs" dxfId="339" priority="16" stopIfTrue="1" operator="greaterThan">
      <formula>$D$60*0.1</formula>
    </cfRule>
  </conditionalFormatting>
  <conditionalFormatting sqref="C31">
    <cfRule type="cellIs" dxfId="338" priority="17" stopIfTrue="1" operator="greaterThan">
      <formula>$C$33*0.1</formula>
    </cfRule>
  </conditionalFormatting>
  <conditionalFormatting sqref="D31">
    <cfRule type="cellIs" dxfId="337" priority="18" stopIfTrue="1" operator="greaterThan">
      <formula>$D$33*0.1</formula>
    </cfRule>
  </conditionalFormatting>
  <conditionalFormatting sqref="E18">
    <cfRule type="cellIs" dxfId="336" priority="19" stopIfTrue="1" operator="greaterThan">
      <formula>$E$20*0.1+E40</formula>
    </cfRule>
  </conditionalFormatting>
  <conditionalFormatting sqref="C18">
    <cfRule type="cellIs" dxfId="335" priority="20" stopIfTrue="1" operator="greaterThan">
      <formula>$C$20*0.1</formula>
    </cfRule>
  </conditionalFormatting>
  <conditionalFormatting sqref="D18">
    <cfRule type="cellIs" dxfId="334" priority="21" stopIfTrue="1" operator="greaterThan">
      <formula>$D$20*0.1</formula>
    </cfRule>
  </conditionalFormatting>
  <conditionalFormatting sqref="D34 D74">
    <cfRule type="cellIs" dxfId="333" priority="2" stopIfTrue="1" operator="lessThan">
      <formula>0</formula>
    </cfRule>
  </conditionalFormatting>
  <pageMargins left="1.1200000000000001" right="0.5" top="0.74" bottom="0.34" header="0.5" footer="0"/>
  <pageSetup scale="53" orientation="portrait" blackAndWhite="1" horizontalDpi="120" verticalDpi="144" r:id="rId1"/>
  <headerFooter alignWithMargins="0">
    <oddHeader xml:space="preserve">&amp;RState of Kansas
County
</oddHeader>
  </headerFooter>
</worksheet>
</file>

<file path=xl/worksheets/sheet2.xml><?xml version="1.0" encoding="utf-8"?>
<worksheet xmlns="http://schemas.openxmlformats.org/spreadsheetml/2006/main" xmlns:r="http://schemas.openxmlformats.org/officeDocument/2006/relationships">
  <sheetPr codeName="Sheet2"/>
  <dimension ref="A1:I126"/>
  <sheetViews>
    <sheetView topLeftCell="A59" zoomScaleNormal="100" workbookViewId="0">
      <selection activeCell="F86" sqref="F86"/>
    </sheetView>
  </sheetViews>
  <sheetFormatPr defaultRowHeight="15.75"/>
  <cols>
    <col min="1" max="1" width="15.77734375" style="71" customWidth="1"/>
    <col min="2" max="2" width="20.77734375" style="71" customWidth="1"/>
    <col min="3" max="3" width="8.77734375" style="71" customWidth="1"/>
    <col min="4" max="5" width="13.33203125" style="71" customWidth="1"/>
    <col min="6" max="6" width="10.77734375" style="71" customWidth="1"/>
    <col min="7" max="7" width="1.77734375" style="71" customWidth="1"/>
    <col min="8" max="8" width="18.6640625" style="71" customWidth="1"/>
    <col min="9" max="16384" width="8.88671875" style="71"/>
  </cols>
  <sheetData>
    <row r="1" spans="1:9">
      <c r="A1" s="750" t="s">
        <v>324</v>
      </c>
      <c r="B1" s="751"/>
      <c r="C1" s="751"/>
      <c r="D1" s="751"/>
      <c r="E1" s="751"/>
      <c r="F1" s="751"/>
      <c r="G1" s="84"/>
      <c r="H1" s="84"/>
      <c r="I1" s="84"/>
    </row>
    <row r="2" spans="1:9">
      <c r="A2" s="83" t="s">
        <v>325</v>
      </c>
      <c r="B2" s="84"/>
      <c r="C2" s="446" t="s">
        <v>898</v>
      </c>
      <c r="D2" s="85"/>
      <c r="E2" s="86"/>
      <c r="F2" s="87"/>
      <c r="G2" s="84"/>
      <c r="H2" s="84"/>
      <c r="I2" s="84"/>
    </row>
    <row r="3" spans="1:9">
      <c r="A3" s="83"/>
      <c r="B3" s="84"/>
      <c r="C3" s="84"/>
      <c r="D3" s="84"/>
      <c r="E3" s="88"/>
      <c r="F3" s="87"/>
      <c r="G3" s="84"/>
      <c r="H3" s="84"/>
      <c r="I3" s="84"/>
    </row>
    <row r="4" spans="1:9">
      <c r="A4" s="83" t="s">
        <v>326</v>
      </c>
      <c r="B4" s="84"/>
      <c r="C4" s="89">
        <v>2014</v>
      </c>
      <c r="D4" s="90"/>
      <c r="E4" s="88"/>
      <c r="F4" s="87"/>
      <c r="G4" s="84"/>
      <c r="H4" s="84"/>
      <c r="I4" s="84"/>
    </row>
    <row r="5" spans="1:9">
      <c r="A5" s="84"/>
      <c r="B5" s="84"/>
      <c r="C5" s="84"/>
      <c r="D5" s="84"/>
      <c r="E5" s="84"/>
      <c r="F5" s="84"/>
      <c r="G5" s="84"/>
      <c r="H5" s="84"/>
      <c r="I5" s="84"/>
    </row>
    <row r="6" spans="1:9" ht="18.75" customHeight="1">
      <c r="A6" s="91" t="s">
        <v>670</v>
      </c>
      <c r="B6" s="92"/>
      <c r="C6" s="92"/>
      <c r="D6" s="92"/>
      <c r="E6" s="92"/>
      <c r="F6" s="92"/>
      <c r="G6" s="84"/>
      <c r="H6" s="752" t="s">
        <v>835</v>
      </c>
      <c r="I6" s="752"/>
    </row>
    <row r="7" spans="1:9">
      <c r="A7" s="91" t="s">
        <v>669</v>
      </c>
      <c r="B7" s="92"/>
      <c r="C7" s="92"/>
      <c r="D7" s="92"/>
      <c r="E7" s="92"/>
      <c r="F7" s="92"/>
      <c r="G7" s="84"/>
      <c r="H7" s="752"/>
      <c r="I7" s="752"/>
    </row>
    <row r="8" spans="1:9">
      <c r="A8" s="91"/>
      <c r="B8" s="92"/>
      <c r="C8" s="92"/>
      <c r="D8" s="92"/>
      <c r="E8" s="92"/>
      <c r="F8" s="92"/>
      <c r="G8" s="84"/>
      <c r="H8" s="752"/>
      <c r="I8" s="752"/>
    </row>
    <row r="9" spans="1:9">
      <c r="A9" s="748" t="s">
        <v>60</v>
      </c>
      <c r="B9" s="749"/>
      <c r="C9" s="749"/>
      <c r="D9" s="749"/>
      <c r="E9" s="749"/>
      <c r="F9" s="749"/>
      <c r="G9" s="84"/>
      <c r="H9" s="752"/>
      <c r="I9" s="752"/>
    </row>
    <row r="10" spans="1:9">
      <c r="A10" s="84"/>
      <c r="B10" s="84"/>
      <c r="C10" s="84"/>
      <c r="D10" s="84"/>
      <c r="E10" s="84"/>
      <c r="F10" s="84"/>
      <c r="G10" s="84"/>
      <c r="H10" s="752"/>
      <c r="I10" s="752"/>
    </row>
    <row r="11" spans="1:9">
      <c r="A11" s="93" t="str">
        <f>CONCATENATE("The input for the following comes directly from the ",C4-1," Budget:")</f>
        <v>The input for the following comes directly from the 2013 Budget:</v>
      </c>
      <c r="B11" s="94"/>
      <c r="C11" s="94"/>
      <c r="D11" s="94"/>
      <c r="E11" s="84"/>
      <c r="F11" s="84"/>
      <c r="G11" s="84"/>
      <c r="H11" s="752"/>
      <c r="I11" s="752"/>
    </row>
    <row r="12" spans="1:9">
      <c r="A12" s="95" t="s">
        <v>327</v>
      </c>
      <c r="B12" s="94"/>
      <c r="C12" s="94"/>
      <c r="D12" s="94"/>
      <c r="E12" s="84"/>
      <c r="F12" s="84"/>
      <c r="G12" s="84"/>
      <c r="H12" s="87"/>
      <c r="I12" s="641"/>
    </row>
    <row r="13" spans="1:9">
      <c r="A13" s="95" t="s">
        <v>352</v>
      </c>
      <c r="B13" s="94"/>
      <c r="C13" s="94"/>
      <c r="D13" s="94"/>
      <c r="E13" s="84"/>
      <c r="F13" s="84"/>
      <c r="G13" s="84"/>
      <c r="H13" s="84"/>
      <c r="I13" s="84"/>
    </row>
    <row r="14" spans="1:9">
      <c r="A14" s="84"/>
      <c r="B14" s="84"/>
      <c r="C14" s="96"/>
      <c r="D14" s="97">
        <f>C4-1</f>
        <v>2013</v>
      </c>
      <c r="E14" s="98" t="str">
        <f>CONCATENATE("",C4-2,"")</f>
        <v>2012</v>
      </c>
      <c r="F14" s="99">
        <f>C4-2</f>
        <v>2012</v>
      </c>
      <c r="H14" s="255" t="s">
        <v>836</v>
      </c>
      <c r="I14" s="250" t="s">
        <v>175</v>
      </c>
    </row>
    <row r="15" spans="1:9">
      <c r="A15" s="83" t="s">
        <v>328</v>
      </c>
      <c r="B15" s="84"/>
      <c r="C15" s="100" t="s">
        <v>130</v>
      </c>
      <c r="D15" s="101" t="s">
        <v>351</v>
      </c>
      <c r="E15" s="101" t="s">
        <v>99</v>
      </c>
      <c r="F15" s="101" t="s">
        <v>74</v>
      </c>
      <c r="H15" s="261" t="str">
        <f>CONCATENATE("",E14," Ad Valorem Tax")</f>
        <v>2012 Ad Valorem Tax</v>
      </c>
      <c r="I15" s="642">
        <v>0</v>
      </c>
    </row>
    <row r="16" spans="1:9">
      <c r="A16" s="84"/>
      <c r="B16" s="102" t="s">
        <v>131</v>
      </c>
      <c r="C16" s="251" t="s">
        <v>282</v>
      </c>
      <c r="D16" s="104">
        <v>12356731</v>
      </c>
      <c r="E16" s="105">
        <v>7517904</v>
      </c>
      <c r="F16" s="106">
        <v>31.97</v>
      </c>
      <c r="H16" s="263">
        <f>IF($I$15&gt;0,ROUND(E16-(E16*$I$15),0),0)</f>
        <v>0</v>
      </c>
    </row>
    <row r="17" spans="1:8">
      <c r="A17" s="84"/>
      <c r="B17" s="102" t="s">
        <v>181</v>
      </c>
      <c r="C17" s="251" t="s">
        <v>329</v>
      </c>
      <c r="D17" s="104"/>
      <c r="E17" s="105"/>
      <c r="F17" s="106"/>
      <c r="H17" s="263">
        <f t="shared" ref="H17:H40" si="0">IF($I$15&gt;0,ROUND(E17-(E17*$I$15),0),0)</f>
        <v>0</v>
      </c>
    </row>
    <row r="18" spans="1:8">
      <c r="A18" s="83"/>
      <c r="B18" s="107" t="s">
        <v>185</v>
      </c>
      <c r="C18" s="250" t="s">
        <v>282</v>
      </c>
      <c r="D18" s="104">
        <v>5733860</v>
      </c>
      <c r="E18" s="104">
        <v>4330233</v>
      </c>
      <c r="F18" s="108">
        <v>18.420000000000002</v>
      </c>
      <c r="H18" s="263">
        <f t="shared" si="0"/>
        <v>0</v>
      </c>
    </row>
    <row r="19" spans="1:8">
      <c r="A19" s="84"/>
      <c r="B19" s="109" t="s">
        <v>923</v>
      </c>
      <c r="C19" s="463" t="s">
        <v>899</v>
      </c>
      <c r="D19" s="104">
        <v>1031400</v>
      </c>
      <c r="E19" s="111">
        <v>894087</v>
      </c>
      <c r="F19" s="106">
        <v>3.81</v>
      </c>
      <c r="H19" s="263">
        <f t="shared" si="0"/>
        <v>0</v>
      </c>
    </row>
    <row r="20" spans="1:8">
      <c r="A20" s="84"/>
      <c r="B20" s="109" t="s">
        <v>922</v>
      </c>
      <c r="C20" s="463" t="s">
        <v>900</v>
      </c>
      <c r="D20" s="104">
        <v>282737</v>
      </c>
      <c r="E20" s="111">
        <v>233494</v>
      </c>
      <c r="F20" s="106">
        <v>1</v>
      </c>
      <c r="H20" s="263">
        <f t="shared" si="0"/>
        <v>0</v>
      </c>
    </row>
    <row r="21" spans="1:8">
      <c r="A21" s="84"/>
      <c r="B21" s="109" t="s">
        <v>921</v>
      </c>
      <c r="C21" s="463"/>
      <c r="D21" s="104">
        <v>425000</v>
      </c>
      <c r="E21" s="111">
        <v>400843</v>
      </c>
      <c r="F21" s="106">
        <v>1.71</v>
      </c>
      <c r="H21" s="263">
        <f t="shared" si="0"/>
        <v>0</v>
      </c>
    </row>
    <row r="22" spans="1:8">
      <c r="A22" s="84"/>
      <c r="B22" s="109" t="s">
        <v>920</v>
      </c>
      <c r="C22" s="463" t="s">
        <v>901</v>
      </c>
      <c r="D22" s="104">
        <v>306750</v>
      </c>
      <c r="E22" s="111">
        <v>157120</v>
      </c>
      <c r="F22" s="106">
        <v>0.67</v>
      </c>
      <c r="H22" s="263">
        <f t="shared" si="0"/>
        <v>0</v>
      </c>
    </row>
    <row r="23" spans="1:8">
      <c r="A23" s="84"/>
      <c r="B23" s="109" t="s">
        <v>919</v>
      </c>
      <c r="C23" s="463" t="s">
        <v>900</v>
      </c>
      <c r="D23" s="104">
        <v>20000</v>
      </c>
      <c r="E23" s="111">
        <v>17556</v>
      </c>
      <c r="F23" s="106">
        <v>7.4999999999999997E-2</v>
      </c>
      <c r="H23" s="263">
        <f t="shared" si="0"/>
        <v>0</v>
      </c>
    </row>
    <row r="24" spans="1:8">
      <c r="A24" s="84"/>
      <c r="B24" s="109" t="s">
        <v>918</v>
      </c>
      <c r="C24" s="463" t="s">
        <v>902</v>
      </c>
      <c r="D24" s="104">
        <v>653759</v>
      </c>
      <c r="E24" s="111">
        <v>467408</v>
      </c>
      <c r="F24" s="106">
        <v>1.99</v>
      </c>
      <c r="H24" s="263">
        <f t="shared" si="0"/>
        <v>0</v>
      </c>
    </row>
    <row r="25" spans="1:8">
      <c r="A25" s="84"/>
      <c r="B25" s="109" t="s">
        <v>917</v>
      </c>
      <c r="C25" s="463" t="s">
        <v>903</v>
      </c>
      <c r="D25" s="104">
        <v>346000</v>
      </c>
      <c r="E25" s="111">
        <v>329713</v>
      </c>
      <c r="F25" s="106">
        <v>1.4019999999999999</v>
      </c>
      <c r="H25" s="263">
        <f t="shared" si="0"/>
        <v>0</v>
      </c>
    </row>
    <row r="26" spans="1:8">
      <c r="A26" s="84"/>
      <c r="B26" s="109" t="s">
        <v>916</v>
      </c>
      <c r="C26" s="463" t="s">
        <v>904</v>
      </c>
      <c r="D26" s="104">
        <v>280000</v>
      </c>
      <c r="E26" s="111">
        <v>158595</v>
      </c>
      <c r="F26" s="106">
        <v>0.67500000000000004</v>
      </c>
      <c r="H26" s="263">
        <f t="shared" si="0"/>
        <v>0</v>
      </c>
    </row>
    <row r="27" spans="1:8">
      <c r="A27" s="84"/>
      <c r="B27" s="109" t="s">
        <v>915</v>
      </c>
      <c r="C27" s="463" t="s">
        <v>905</v>
      </c>
      <c r="D27" s="104">
        <v>608833</v>
      </c>
      <c r="E27" s="111">
        <v>528047</v>
      </c>
      <c r="F27" s="106">
        <v>2.25</v>
      </c>
      <c r="H27" s="263">
        <f t="shared" si="0"/>
        <v>0</v>
      </c>
    </row>
    <row r="28" spans="1:8">
      <c r="A28" s="84"/>
      <c r="B28" s="109" t="s">
        <v>914</v>
      </c>
      <c r="C28" s="463"/>
      <c r="D28" s="104">
        <v>0</v>
      </c>
      <c r="E28" s="111"/>
      <c r="F28" s="106"/>
      <c r="H28" s="263">
        <f t="shared" si="0"/>
        <v>0</v>
      </c>
    </row>
    <row r="29" spans="1:8">
      <c r="A29" s="84"/>
      <c r="B29" s="109" t="s">
        <v>913</v>
      </c>
      <c r="C29" s="463"/>
      <c r="D29" s="104">
        <v>4</v>
      </c>
      <c r="E29" s="111"/>
      <c r="F29" s="106"/>
      <c r="H29" s="263">
        <f t="shared" si="0"/>
        <v>0</v>
      </c>
    </row>
    <row r="30" spans="1:8">
      <c r="A30" s="84"/>
      <c r="B30" s="109"/>
      <c r="C30" s="463"/>
      <c r="D30" s="104"/>
      <c r="E30" s="111"/>
      <c r="F30" s="106"/>
      <c r="H30" s="263">
        <f t="shared" si="0"/>
        <v>0</v>
      </c>
    </row>
    <row r="31" spans="1:8" hidden="1">
      <c r="A31" s="84"/>
      <c r="B31" s="109"/>
      <c r="C31" s="463"/>
      <c r="D31" s="104"/>
      <c r="E31" s="111"/>
      <c r="F31" s="106"/>
      <c r="H31" s="263">
        <f t="shared" si="0"/>
        <v>0</v>
      </c>
    </row>
    <row r="32" spans="1:8" hidden="1">
      <c r="A32" s="84"/>
      <c r="B32" s="109"/>
      <c r="C32" s="463"/>
      <c r="D32" s="104"/>
      <c r="E32" s="111"/>
      <c r="F32" s="106"/>
      <c r="H32" s="263">
        <f t="shared" si="0"/>
        <v>0</v>
      </c>
    </row>
    <row r="33" spans="1:8" hidden="1">
      <c r="A33" s="84"/>
      <c r="B33" s="109"/>
      <c r="C33" s="463"/>
      <c r="D33" s="104"/>
      <c r="E33" s="111"/>
      <c r="F33" s="106"/>
      <c r="H33" s="263">
        <f t="shared" si="0"/>
        <v>0</v>
      </c>
    </row>
    <row r="34" spans="1:8" hidden="1">
      <c r="A34" s="84"/>
      <c r="B34" s="109"/>
      <c r="C34" s="463"/>
      <c r="D34" s="104"/>
      <c r="E34" s="111"/>
      <c r="F34" s="106"/>
      <c r="H34" s="263">
        <f t="shared" si="0"/>
        <v>0</v>
      </c>
    </row>
    <row r="35" spans="1:8" hidden="1">
      <c r="A35" s="84"/>
      <c r="B35" s="109"/>
      <c r="C35" s="463"/>
      <c r="D35" s="104"/>
      <c r="E35" s="111"/>
      <c r="F35" s="106"/>
      <c r="H35" s="263">
        <f t="shared" si="0"/>
        <v>0</v>
      </c>
    </row>
    <row r="36" spans="1:8" hidden="1">
      <c r="A36" s="84"/>
      <c r="B36" s="109"/>
      <c r="C36" s="463"/>
      <c r="D36" s="104"/>
      <c r="E36" s="111"/>
      <c r="F36" s="106"/>
      <c r="H36" s="263">
        <f t="shared" si="0"/>
        <v>0</v>
      </c>
    </row>
    <row r="37" spans="1:8" hidden="1">
      <c r="A37" s="84"/>
      <c r="B37" s="109"/>
      <c r="C37" s="463"/>
      <c r="D37" s="104"/>
      <c r="E37" s="111"/>
      <c r="F37" s="106"/>
      <c r="H37" s="263">
        <f t="shared" si="0"/>
        <v>0</v>
      </c>
    </row>
    <row r="38" spans="1:8">
      <c r="A38" s="84"/>
      <c r="B38" s="109"/>
      <c r="C38" s="463"/>
      <c r="D38" s="104"/>
      <c r="E38" s="111"/>
      <c r="F38" s="106"/>
      <c r="H38" s="263">
        <f t="shared" si="0"/>
        <v>0</v>
      </c>
    </row>
    <row r="39" spans="1:8">
      <c r="A39" s="84"/>
      <c r="B39" s="109"/>
      <c r="C39" s="463"/>
      <c r="D39" s="104"/>
      <c r="E39" s="111"/>
      <c r="F39" s="106"/>
      <c r="H39" s="263">
        <f t="shared" si="0"/>
        <v>0</v>
      </c>
    </row>
    <row r="40" spans="1:8">
      <c r="A40" s="84"/>
      <c r="B40" s="109"/>
      <c r="C40" s="463"/>
      <c r="D40" s="104"/>
      <c r="E40" s="111"/>
      <c r="F40" s="106"/>
      <c r="H40" s="263">
        <f t="shared" si="0"/>
        <v>0</v>
      </c>
    </row>
    <row r="41" spans="1:8">
      <c r="A41" s="112" t="str">
        <f>CONCATENATE("Total Tax Levy Funds Levy Amounts and Levy Rates for ",C4-1," Budget")</f>
        <v>Total Tax Levy Funds Levy Amounts and Levy Rates for 2013 Budget</v>
      </c>
      <c r="B41" s="113"/>
      <c r="C41" s="113"/>
      <c r="D41" s="114"/>
      <c r="E41" s="115">
        <f>SUM(E16:E40)</f>
        <v>15035000</v>
      </c>
      <c r="F41" s="116">
        <f>SUM(F16:F40)</f>
        <v>63.972000000000008</v>
      </c>
    </row>
    <row r="42" spans="1:8">
      <c r="A42" s="83" t="s">
        <v>29</v>
      </c>
      <c r="B42" s="84"/>
      <c r="C42" s="84"/>
      <c r="D42" s="84"/>
      <c r="E42" s="84"/>
      <c r="F42" s="84"/>
    </row>
    <row r="43" spans="1:8">
      <c r="A43" s="84"/>
      <c r="B43" s="106" t="s">
        <v>912</v>
      </c>
      <c r="C43" s="84"/>
      <c r="D43" s="104">
        <v>368654</v>
      </c>
      <c r="E43" s="84"/>
      <c r="F43" s="84"/>
    </row>
    <row r="44" spans="1:8">
      <c r="A44" s="84"/>
      <c r="B44" s="106" t="s">
        <v>911</v>
      </c>
      <c r="C44" s="84"/>
      <c r="D44" s="104">
        <v>3029</v>
      </c>
      <c r="E44" s="84"/>
      <c r="F44" s="84"/>
    </row>
    <row r="45" spans="1:8">
      <c r="A45" s="84"/>
      <c r="B45" s="106" t="s">
        <v>910</v>
      </c>
      <c r="C45" s="84"/>
      <c r="D45" s="104">
        <v>60000</v>
      </c>
      <c r="E45" s="84"/>
      <c r="F45" s="84"/>
    </row>
    <row r="46" spans="1:8">
      <c r="A46" s="84"/>
      <c r="B46" s="106" t="s">
        <v>909</v>
      </c>
      <c r="C46" s="84"/>
      <c r="D46" s="104">
        <v>434932</v>
      </c>
      <c r="E46" s="84"/>
      <c r="F46" s="84"/>
    </row>
    <row r="47" spans="1:8">
      <c r="A47" s="84"/>
      <c r="B47" s="726" t="s">
        <v>1071</v>
      </c>
      <c r="C47" s="728"/>
      <c r="D47" s="726">
        <v>0</v>
      </c>
      <c r="E47" s="84"/>
      <c r="F47" s="84"/>
    </row>
    <row r="48" spans="1:8">
      <c r="A48" s="84"/>
      <c r="B48" s="727" t="s">
        <v>908</v>
      </c>
      <c r="C48" s="84"/>
      <c r="D48" s="104">
        <v>16500</v>
      </c>
      <c r="E48" s="84"/>
      <c r="F48" s="84"/>
    </row>
    <row r="49" spans="1:6">
      <c r="A49" s="84"/>
      <c r="B49" s="106" t="s">
        <v>907</v>
      </c>
      <c r="C49" s="84"/>
      <c r="D49" s="104">
        <v>40200</v>
      </c>
      <c r="E49" s="84"/>
      <c r="F49" s="84"/>
    </row>
    <row r="50" spans="1:6">
      <c r="A50" s="84"/>
      <c r="B50" s="106" t="s">
        <v>925</v>
      </c>
      <c r="C50" s="84"/>
      <c r="D50" s="104">
        <v>50000</v>
      </c>
      <c r="E50" s="84"/>
      <c r="F50" s="84"/>
    </row>
    <row r="51" spans="1:6">
      <c r="A51" s="84"/>
      <c r="B51" s="106" t="s">
        <v>926</v>
      </c>
      <c r="C51" s="84"/>
      <c r="D51" s="104">
        <v>248178</v>
      </c>
      <c r="E51" s="84"/>
      <c r="F51" s="84"/>
    </row>
    <row r="52" spans="1:6">
      <c r="A52" s="84"/>
      <c r="B52" s="106" t="s">
        <v>927</v>
      </c>
      <c r="C52" s="84"/>
      <c r="D52" s="104">
        <v>6000</v>
      </c>
      <c r="E52" s="84"/>
      <c r="F52" s="84"/>
    </row>
    <row r="53" spans="1:6">
      <c r="A53" s="84"/>
      <c r="B53" s="106" t="s">
        <v>928</v>
      </c>
      <c r="C53" s="84"/>
      <c r="D53" s="104">
        <v>0</v>
      </c>
      <c r="E53" s="84"/>
      <c r="F53" s="84"/>
    </row>
    <row r="54" spans="1:6">
      <c r="A54" s="84"/>
      <c r="B54" s="106" t="s">
        <v>929</v>
      </c>
      <c r="C54" s="84"/>
      <c r="D54" s="104">
        <v>0</v>
      </c>
      <c r="E54" s="84"/>
      <c r="F54" s="84"/>
    </row>
    <row r="55" spans="1:6">
      <c r="A55" s="84"/>
      <c r="B55" s="106" t="s">
        <v>930</v>
      </c>
      <c r="C55" s="84"/>
      <c r="D55" s="104">
        <v>0</v>
      </c>
      <c r="E55" s="84"/>
      <c r="F55" s="84"/>
    </row>
    <row r="56" spans="1:6">
      <c r="A56" s="84"/>
      <c r="B56" s="106" t="s">
        <v>931</v>
      </c>
      <c r="C56" s="84"/>
      <c r="D56" s="104">
        <v>0</v>
      </c>
      <c r="E56" s="84"/>
      <c r="F56" s="84"/>
    </row>
    <row r="57" spans="1:6">
      <c r="A57" s="84"/>
      <c r="B57" s="106" t="s">
        <v>932</v>
      </c>
      <c r="C57" s="84"/>
      <c r="D57" s="104">
        <v>15000</v>
      </c>
      <c r="E57" s="84"/>
      <c r="F57" s="84"/>
    </row>
    <row r="58" spans="1:6">
      <c r="A58" s="84"/>
      <c r="B58" s="106" t="s">
        <v>933</v>
      </c>
      <c r="C58" s="84"/>
      <c r="D58" s="104">
        <v>4533</v>
      </c>
      <c r="E58" s="84"/>
      <c r="F58" s="84"/>
    </row>
    <row r="59" spans="1:6">
      <c r="A59" s="112" t="str">
        <f>CONCATENATE("Total Expenditures for ",C4-1," Budgeted Year")</f>
        <v>Total Expenditures for 2013 Budgeted Year</v>
      </c>
      <c r="B59" s="117"/>
      <c r="C59" s="118"/>
      <c r="D59" s="119">
        <f>SUM(D16:D40,D43:D58)</f>
        <v>23292100</v>
      </c>
      <c r="E59" s="84"/>
      <c r="F59" s="84"/>
    </row>
    <row r="60" spans="1:6">
      <c r="A60" s="120"/>
      <c r="B60" s="121"/>
      <c r="C60" s="84"/>
      <c r="D60" s="122"/>
      <c r="E60" s="84"/>
      <c r="F60" s="84"/>
    </row>
    <row r="61" spans="1:6">
      <c r="A61" s="84" t="s">
        <v>15</v>
      </c>
      <c r="B61" s="121"/>
      <c r="C61" s="84"/>
      <c r="D61" s="84"/>
      <c r="E61" s="84"/>
      <c r="F61" s="84"/>
    </row>
    <row r="62" spans="1:6">
      <c r="A62" s="84">
        <v>1</v>
      </c>
      <c r="B62" s="106" t="s">
        <v>924</v>
      </c>
      <c r="C62" s="84"/>
      <c r="D62" s="84"/>
      <c r="E62" s="84"/>
      <c r="F62" s="84"/>
    </row>
    <row r="63" spans="1:6">
      <c r="A63" s="84">
        <v>2</v>
      </c>
      <c r="B63" s="106" t="s">
        <v>934</v>
      </c>
      <c r="C63" s="84"/>
      <c r="D63" s="84"/>
      <c r="E63" s="84"/>
      <c r="F63" s="84"/>
    </row>
    <row r="64" spans="1:6">
      <c r="A64" s="84">
        <v>3</v>
      </c>
      <c r="B64" s="106" t="s">
        <v>935</v>
      </c>
      <c r="C64" s="84"/>
      <c r="D64" s="84"/>
      <c r="E64" s="84"/>
      <c r="F64" s="84"/>
    </row>
    <row r="65" spans="1:6">
      <c r="A65" s="84">
        <v>4</v>
      </c>
      <c r="B65" s="106" t="s">
        <v>936</v>
      </c>
      <c r="C65" s="84"/>
      <c r="D65" s="84"/>
      <c r="E65" s="84"/>
      <c r="F65" s="84"/>
    </row>
    <row r="66" spans="1:6">
      <c r="A66" s="84">
        <v>5</v>
      </c>
      <c r="B66" s="106" t="s">
        <v>937</v>
      </c>
      <c r="C66" s="84"/>
      <c r="D66" s="84"/>
      <c r="E66" s="84"/>
      <c r="F66" s="84"/>
    </row>
    <row r="67" spans="1:6">
      <c r="A67" s="84" t="s">
        <v>24</v>
      </c>
      <c r="B67" s="121"/>
      <c r="C67" s="84"/>
      <c r="D67" s="84"/>
      <c r="E67" s="84"/>
      <c r="F67" s="84"/>
    </row>
    <row r="68" spans="1:6">
      <c r="A68" s="84">
        <v>1</v>
      </c>
      <c r="B68" s="106" t="s">
        <v>938</v>
      </c>
      <c r="C68" s="84"/>
      <c r="D68" s="84"/>
      <c r="E68" s="84"/>
      <c r="F68" s="84"/>
    </row>
    <row r="69" spans="1:6">
      <c r="A69" s="84">
        <v>2</v>
      </c>
      <c r="B69" s="106" t="s">
        <v>939</v>
      </c>
      <c r="C69" s="84"/>
      <c r="D69" s="84"/>
      <c r="E69" s="84"/>
      <c r="F69" s="84"/>
    </row>
    <row r="70" spans="1:6">
      <c r="A70" s="84">
        <v>3</v>
      </c>
      <c r="B70" s="106" t="s">
        <v>940</v>
      </c>
      <c r="C70" s="84"/>
      <c r="D70" s="84"/>
      <c r="E70" s="84"/>
      <c r="F70" s="84"/>
    </row>
    <row r="71" spans="1:6">
      <c r="A71" s="84">
        <v>4</v>
      </c>
      <c r="B71" s="106" t="s">
        <v>941</v>
      </c>
      <c r="C71" s="84"/>
      <c r="D71" s="84"/>
      <c r="E71" s="84"/>
      <c r="F71" s="84"/>
    </row>
    <row r="72" spans="1:6">
      <c r="A72" s="84">
        <v>5</v>
      </c>
      <c r="B72" s="106" t="s">
        <v>906</v>
      </c>
      <c r="C72" s="84"/>
      <c r="D72" s="84"/>
      <c r="E72" s="84"/>
      <c r="F72" s="84"/>
    </row>
    <row r="73" spans="1:6">
      <c r="A73" s="84" t="s">
        <v>26</v>
      </c>
      <c r="B73" s="121"/>
      <c r="C73" s="84"/>
      <c r="D73" s="84"/>
      <c r="E73" s="84"/>
      <c r="F73" s="84"/>
    </row>
    <row r="74" spans="1:6">
      <c r="A74" s="84">
        <v>1</v>
      </c>
      <c r="B74" s="106"/>
      <c r="C74" s="84"/>
      <c r="D74" s="84"/>
      <c r="E74" s="84"/>
      <c r="F74" s="84"/>
    </row>
    <row r="75" spans="1:6">
      <c r="A75" s="84">
        <v>2</v>
      </c>
      <c r="B75" s="106"/>
      <c r="C75" s="84"/>
      <c r="D75" s="84"/>
      <c r="E75" s="84"/>
      <c r="F75" s="84"/>
    </row>
    <row r="76" spans="1:6">
      <c r="A76" s="84">
        <v>3</v>
      </c>
      <c r="B76" s="106"/>
      <c r="C76" s="84"/>
      <c r="D76" s="84"/>
      <c r="E76" s="84"/>
      <c r="F76" s="84"/>
    </row>
    <row r="77" spans="1:6">
      <c r="A77" s="84">
        <v>4</v>
      </c>
      <c r="B77" s="106"/>
      <c r="C77" s="84"/>
      <c r="D77" s="84"/>
      <c r="E77" s="84"/>
      <c r="F77" s="84"/>
    </row>
    <row r="78" spans="1:6">
      <c r="A78" s="84">
        <v>5</v>
      </c>
      <c r="B78" s="106"/>
      <c r="C78" s="84"/>
      <c r="D78" s="84"/>
      <c r="E78" s="84"/>
      <c r="F78" s="84"/>
    </row>
    <row r="79" spans="1:6">
      <c r="A79" s="84" t="s">
        <v>28</v>
      </c>
      <c r="B79" s="121"/>
      <c r="C79" s="84"/>
      <c r="D79" s="84"/>
      <c r="E79" s="84"/>
      <c r="F79" s="84"/>
    </row>
    <row r="80" spans="1:6">
      <c r="A80" s="84">
        <v>1</v>
      </c>
      <c r="B80" s="106"/>
      <c r="C80" s="84"/>
      <c r="D80" s="84"/>
      <c r="E80" s="84"/>
      <c r="F80" s="84"/>
    </row>
    <row r="81" spans="1:6">
      <c r="A81" s="84">
        <v>2</v>
      </c>
      <c r="B81" s="106"/>
      <c r="C81" s="84"/>
      <c r="D81" s="84"/>
      <c r="E81" s="84"/>
      <c r="F81" s="84"/>
    </row>
    <row r="82" spans="1:6">
      <c r="A82" s="84">
        <v>3</v>
      </c>
      <c r="B82" s="106"/>
      <c r="C82" s="84"/>
      <c r="D82" s="84"/>
      <c r="E82" s="84"/>
      <c r="F82" s="84"/>
    </row>
    <row r="83" spans="1:6">
      <c r="A83" s="84">
        <v>4</v>
      </c>
      <c r="B83" s="106"/>
      <c r="C83" s="84"/>
      <c r="D83" s="84"/>
      <c r="E83" s="84"/>
      <c r="F83" s="84"/>
    </row>
    <row r="84" spans="1:6">
      <c r="A84" s="84">
        <v>5</v>
      </c>
      <c r="B84" s="106"/>
      <c r="C84" s="84"/>
      <c r="D84" s="84"/>
      <c r="E84" s="84"/>
      <c r="F84" s="84"/>
    </row>
    <row r="85" spans="1:6">
      <c r="A85" s="112" t="str">
        <f>CONCATENATE("County's Final Assessed Valuation for ",C4-1," (November 1,",C4-2," Abstract):")</f>
        <v>County's Final Assessed Valuation for 2013 (November 1,2012 Abstract):</v>
      </c>
      <c r="B85" s="113"/>
      <c r="C85" s="113"/>
      <c r="D85" s="113"/>
      <c r="E85" s="118"/>
      <c r="F85" s="111">
        <v>235227407</v>
      </c>
    </row>
    <row r="86" spans="1:6">
      <c r="A86" s="83"/>
      <c r="B86" s="84"/>
      <c r="C86" s="84"/>
      <c r="D86" s="84"/>
      <c r="E86" s="84"/>
      <c r="F86" s="84"/>
    </row>
    <row r="87" spans="1:6">
      <c r="A87" s="84"/>
      <c r="B87" s="84"/>
      <c r="C87" s="84"/>
      <c r="D87" s="84"/>
      <c r="E87" s="84"/>
      <c r="F87" s="84"/>
    </row>
    <row r="88" spans="1:6">
      <c r="A88" s="123" t="str">
        <f>CONCATENATE("From the ",C4-1," Budget:")</f>
        <v>From the 2013 Budget:</v>
      </c>
      <c r="B88" s="94"/>
      <c r="C88" s="84"/>
      <c r="D88" s="746" t="str">
        <f>CONCATENATE("",C4-3," Tax Rate (",C4-2," Column)")</f>
        <v>2011 Tax Rate (2012 Column)</v>
      </c>
      <c r="E88" s="124"/>
      <c r="F88" s="84"/>
    </row>
    <row r="89" spans="1:6">
      <c r="A89" s="123" t="s">
        <v>122</v>
      </c>
      <c r="B89" s="125"/>
      <c r="C89" s="84"/>
      <c r="D89" s="747"/>
      <c r="E89" s="124"/>
      <c r="F89" s="84"/>
    </row>
    <row r="90" spans="1:6">
      <c r="A90" s="84"/>
      <c r="B90" s="126" t="str">
        <f>B16</f>
        <v>General</v>
      </c>
      <c r="C90" s="84"/>
      <c r="D90" s="106">
        <v>28.170999999999999</v>
      </c>
      <c r="E90" s="124"/>
      <c r="F90" s="84"/>
    </row>
    <row r="91" spans="1:6">
      <c r="A91" s="84"/>
      <c r="B91" s="126" t="str">
        <f>B17</f>
        <v>Debt Service</v>
      </c>
      <c r="C91" s="84"/>
      <c r="D91" s="106">
        <v>0</v>
      </c>
      <c r="E91" s="124"/>
      <c r="F91" s="84"/>
    </row>
    <row r="92" spans="1:6">
      <c r="A92" s="84"/>
      <c r="B92" s="126" t="str">
        <f>B18</f>
        <v>Road &amp; Bridge</v>
      </c>
      <c r="C92" s="84"/>
      <c r="D92" s="106">
        <v>16.122</v>
      </c>
      <c r="E92" s="124"/>
      <c r="F92" s="84"/>
    </row>
    <row r="93" spans="1:6">
      <c r="A93" s="84"/>
      <c r="B93" s="126" t="str">
        <f t="shared" ref="B93:B114" si="1">B19</f>
        <v>Multi-year Cap Imp (17)</v>
      </c>
      <c r="C93" s="84"/>
      <c r="D93" s="106">
        <v>2.5049999999999999</v>
      </c>
      <c r="E93" s="124"/>
      <c r="F93" s="84"/>
    </row>
    <row r="94" spans="1:6">
      <c r="A94" s="84"/>
      <c r="B94" s="126" t="str">
        <f t="shared" si="1"/>
        <v>Mental Health (23)</v>
      </c>
      <c r="C94" s="84"/>
      <c r="D94" s="106">
        <v>1.464</v>
      </c>
      <c r="E94" s="124"/>
      <c r="F94" s="84"/>
    </row>
    <row r="95" spans="1:6">
      <c r="A95" s="84"/>
      <c r="B95" s="126" t="str">
        <f t="shared" si="1"/>
        <v>Newman Hospital (25)</v>
      </c>
      <c r="C95" s="84"/>
      <c r="D95" s="106">
        <v>1.994</v>
      </c>
      <c r="E95" s="124"/>
      <c r="F95" s="84"/>
    </row>
    <row r="96" spans="1:6">
      <c r="A96" s="84"/>
      <c r="B96" s="126" t="str">
        <f t="shared" si="1"/>
        <v>Noxious Weeds (26)</v>
      </c>
      <c r="C96" s="84"/>
      <c r="D96" s="106">
        <v>0.35499999999999998</v>
      </c>
      <c r="E96" s="124"/>
      <c r="F96" s="84"/>
    </row>
    <row r="97" spans="1:6">
      <c r="A97" s="84"/>
      <c r="B97" s="126" t="str">
        <f t="shared" si="1"/>
        <v>Hetlinger Development (28)</v>
      </c>
      <c r="C97" s="84"/>
      <c r="D97" s="106">
        <v>7.8E-2</v>
      </c>
      <c r="E97" s="124"/>
      <c r="F97" s="84"/>
    </row>
    <row r="98" spans="1:6">
      <c r="A98" s="84"/>
      <c r="B98" s="126" t="str">
        <f t="shared" si="1"/>
        <v>Special Bridge 1135 (33)</v>
      </c>
      <c r="C98" s="84"/>
      <c r="D98" s="106">
        <v>2.4500000000000002</v>
      </c>
      <c r="E98" s="124"/>
      <c r="F98" s="84"/>
    </row>
    <row r="99" spans="1:6">
      <c r="A99" s="84"/>
      <c r="B99" s="126" t="str">
        <f t="shared" si="1"/>
        <v>Special R&amp;B 559A (41)</v>
      </c>
      <c r="C99" s="84"/>
      <c r="D99" s="106">
        <v>1.22</v>
      </c>
      <c r="E99" s="124"/>
      <c r="F99" s="84"/>
    </row>
    <row r="100" spans="1:6">
      <c r="A100" s="84"/>
      <c r="B100" s="126" t="str">
        <f t="shared" si="1"/>
        <v xml:space="preserve">Tort Liability (53) </v>
      </c>
      <c r="C100" s="84"/>
      <c r="D100" s="106">
        <v>0.83199999999999996</v>
      </c>
      <c r="E100" s="124"/>
      <c r="F100" s="84"/>
    </row>
    <row r="101" spans="1:6">
      <c r="A101" s="84"/>
      <c r="B101" s="126" t="str">
        <f t="shared" si="1"/>
        <v>Health Department (66)</v>
      </c>
      <c r="C101" s="84"/>
      <c r="D101" s="106">
        <v>2.113</v>
      </c>
      <c r="E101" s="124"/>
      <c r="F101" s="84"/>
    </row>
    <row r="102" spans="1:6">
      <c r="A102" s="84"/>
      <c r="B102" s="126" t="str">
        <f t="shared" si="1"/>
        <v>Bond &amp; Interest (50)</v>
      </c>
      <c r="C102" s="84"/>
      <c r="D102" s="106"/>
      <c r="E102" s="124"/>
      <c r="F102" s="84"/>
    </row>
    <row r="103" spans="1:6">
      <c r="A103" s="84"/>
      <c r="B103" s="126" t="str">
        <f t="shared" si="1"/>
        <v>No Fund Warrant (51)</v>
      </c>
      <c r="C103" s="84"/>
      <c r="D103" s="106"/>
      <c r="E103" s="124"/>
      <c r="F103" s="84"/>
    </row>
    <row r="104" spans="1:6">
      <c r="A104" s="84"/>
      <c r="B104" s="126">
        <f t="shared" si="1"/>
        <v>0</v>
      </c>
      <c r="C104" s="84"/>
      <c r="D104" s="106"/>
      <c r="E104" s="124"/>
      <c r="F104" s="84"/>
    </row>
    <row r="105" spans="1:6" hidden="1">
      <c r="A105" s="84"/>
      <c r="B105" s="126">
        <f t="shared" si="1"/>
        <v>0</v>
      </c>
      <c r="C105" s="84"/>
      <c r="D105" s="106"/>
      <c r="E105" s="124"/>
      <c r="F105" s="84"/>
    </row>
    <row r="106" spans="1:6" hidden="1">
      <c r="A106" s="84"/>
      <c r="B106" s="126">
        <f t="shared" si="1"/>
        <v>0</v>
      </c>
      <c r="C106" s="84"/>
      <c r="D106" s="106"/>
      <c r="E106" s="124"/>
      <c r="F106" s="84"/>
    </row>
    <row r="107" spans="1:6" hidden="1">
      <c r="A107" s="84"/>
      <c r="B107" s="126">
        <f t="shared" si="1"/>
        <v>0</v>
      </c>
      <c r="C107" s="84"/>
      <c r="D107" s="106"/>
      <c r="E107" s="124"/>
      <c r="F107" s="84"/>
    </row>
    <row r="108" spans="1:6" hidden="1">
      <c r="A108" s="84"/>
      <c r="B108" s="126">
        <f t="shared" si="1"/>
        <v>0</v>
      </c>
      <c r="C108" s="84"/>
      <c r="D108" s="106"/>
      <c r="E108" s="124"/>
      <c r="F108" s="84"/>
    </row>
    <row r="109" spans="1:6" hidden="1">
      <c r="A109" s="84"/>
      <c r="B109" s="126">
        <f t="shared" si="1"/>
        <v>0</v>
      </c>
      <c r="C109" s="84"/>
      <c r="D109" s="106"/>
      <c r="E109" s="124"/>
      <c r="F109" s="84"/>
    </row>
    <row r="110" spans="1:6" hidden="1">
      <c r="A110" s="84"/>
      <c r="B110" s="126">
        <f t="shared" si="1"/>
        <v>0</v>
      </c>
      <c r="C110" s="84"/>
      <c r="D110" s="106"/>
      <c r="E110" s="124"/>
      <c r="F110" s="84"/>
    </row>
    <row r="111" spans="1:6" hidden="1">
      <c r="A111" s="84"/>
      <c r="B111" s="126">
        <f t="shared" si="1"/>
        <v>0</v>
      </c>
      <c r="C111" s="84"/>
      <c r="D111" s="106"/>
      <c r="E111" s="124"/>
      <c r="F111" s="84"/>
    </row>
    <row r="112" spans="1:6" hidden="1">
      <c r="A112" s="84"/>
      <c r="B112" s="126">
        <f t="shared" si="1"/>
        <v>0</v>
      </c>
      <c r="C112" s="84"/>
      <c r="D112" s="106"/>
      <c r="E112" s="124"/>
      <c r="F112" s="84"/>
    </row>
    <row r="113" spans="1:6" hidden="1">
      <c r="A113" s="84"/>
      <c r="B113" s="126">
        <f t="shared" si="1"/>
        <v>0</v>
      </c>
      <c r="C113" s="84"/>
      <c r="D113" s="106"/>
      <c r="E113" s="124"/>
      <c r="F113" s="84"/>
    </row>
    <row r="114" spans="1:6">
      <c r="A114" s="84"/>
      <c r="B114" s="126">
        <f t="shared" si="1"/>
        <v>0</v>
      </c>
      <c r="C114" s="84"/>
      <c r="D114" s="106"/>
      <c r="E114" s="124"/>
      <c r="F114" s="84"/>
    </row>
    <row r="115" spans="1:6">
      <c r="A115" s="113" t="s">
        <v>132</v>
      </c>
      <c r="B115" s="113"/>
      <c r="C115" s="118"/>
      <c r="D115" s="116">
        <f>SUM(D90:D114)</f>
        <v>57.304000000000002</v>
      </c>
      <c r="E115" s="124"/>
      <c r="F115" s="84"/>
    </row>
    <row r="116" spans="1:6">
      <c r="A116" s="84"/>
      <c r="B116" s="84"/>
      <c r="C116" s="84"/>
      <c r="D116" s="84"/>
      <c r="E116" s="84"/>
      <c r="F116" s="84"/>
    </row>
    <row r="117" spans="1:6">
      <c r="A117" s="127" t="str">
        <f>CONCATENATE("Total Tax Levied (",C4-2," budget column)")</f>
        <v>Total Tax Levied (2012 budget column)</v>
      </c>
      <c r="B117" s="128"/>
      <c r="C117" s="113"/>
      <c r="D117" s="113"/>
      <c r="E117" s="118"/>
      <c r="F117" s="111">
        <v>13095681</v>
      </c>
    </row>
    <row r="118" spans="1:6">
      <c r="A118" s="129" t="str">
        <f>CONCATENATE("Assessed Valuation  (",C4-2," budget column)")</f>
        <v>Assessed Valuation  (2012 budget column)</v>
      </c>
      <c r="B118" s="130"/>
      <c r="C118" s="131"/>
      <c r="D118" s="131"/>
      <c r="E118" s="114"/>
      <c r="F118" s="111">
        <v>228536350</v>
      </c>
    </row>
    <row r="119" spans="1:6">
      <c r="A119" s="120"/>
      <c r="B119" s="87"/>
      <c r="C119" s="87"/>
      <c r="D119" s="87"/>
      <c r="E119" s="87"/>
      <c r="F119" s="132"/>
    </row>
    <row r="120" spans="1:6">
      <c r="A120" s="133" t="str">
        <f>CONCATENATE("From the ",C4-1," Budget, Budget Summary Page:")</f>
        <v>From the 2013 Budget, Budget Summary Page:</v>
      </c>
      <c r="B120" s="134"/>
      <c r="C120" s="124"/>
      <c r="D120" s="124"/>
      <c r="E120" s="124"/>
      <c r="F120" s="124"/>
    </row>
    <row r="121" spans="1:6">
      <c r="A121" s="135" t="s">
        <v>0</v>
      </c>
      <c r="B121" s="135"/>
      <c r="C121" s="136"/>
      <c r="D121" s="137">
        <f>C4-3</f>
        <v>2011</v>
      </c>
      <c r="E121" s="138">
        <f>C4-2</f>
        <v>2012</v>
      </c>
      <c r="F121" s="124"/>
    </row>
    <row r="122" spans="1:6">
      <c r="A122" s="139" t="s">
        <v>1</v>
      </c>
      <c r="B122" s="139"/>
      <c r="C122" s="140"/>
      <c r="D122" s="104">
        <v>0</v>
      </c>
      <c r="E122" s="104">
        <v>0</v>
      </c>
      <c r="F122" s="124"/>
    </row>
    <row r="123" spans="1:6" s="142" customFormat="1">
      <c r="A123" s="141" t="s">
        <v>2</v>
      </c>
      <c r="B123" s="141"/>
      <c r="C123" s="140"/>
      <c r="D123" s="104">
        <v>3500000</v>
      </c>
      <c r="E123" s="104">
        <v>0</v>
      </c>
      <c r="F123" s="136"/>
    </row>
    <row r="124" spans="1:6" s="142" customFormat="1">
      <c r="A124" s="141" t="s">
        <v>3</v>
      </c>
      <c r="B124" s="141"/>
      <c r="C124" s="140"/>
      <c r="D124" s="104"/>
      <c r="E124" s="104"/>
      <c r="F124" s="136"/>
    </row>
    <row r="125" spans="1:6" s="142" customFormat="1">
      <c r="A125" s="141" t="s">
        <v>4</v>
      </c>
      <c r="B125" s="141"/>
      <c r="C125" s="140"/>
      <c r="D125" s="104">
        <v>13087</v>
      </c>
      <c r="E125" s="104">
        <v>0</v>
      </c>
      <c r="F125" s="136"/>
    </row>
    <row r="126" spans="1:6" s="142" customFormat="1"/>
  </sheetData>
  <mergeCells count="4">
    <mergeCell ref="D88:D89"/>
    <mergeCell ref="A9:F9"/>
    <mergeCell ref="A1:F1"/>
    <mergeCell ref="H6:I11"/>
  </mergeCells>
  <phoneticPr fontId="0" type="noConversion"/>
  <pageMargins left="0.5" right="0.5" top="0.63" bottom="0.5" header="0.5" footer="0.25"/>
  <pageSetup scale="80" fitToHeight="3"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codeName="Sheet15">
    <pageSetUpPr fitToPage="1"/>
  </sheetPr>
  <dimension ref="B1:K94"/>
  <sheetViews>
    <sheetView topLeftCell="A43" zoomScaleNormal="100" workbookViewId="0">
      <selection activeCell="D87" sqref="D87"/>
    </sheetView>
  </sheetViews>
  <sheetFormatPr defaultRowHeight="15.75"/>
  <cols>
    <col min="1" max="1" width="2.44140625" style="71" customWidth="1"/>
    <col min="2" max="2" width="31.109375" style="71" customWidth="1"/>
    <col min="3" max="4" width="15.77734375" style="71" customWidth="1"/>
    <col min="5" max="5" width="16.2187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331"/>
      <c r="D3" s="331"/>
      <c r="E3" s="332"/>
    </row>
    <row r="4" spans="2:5">
      <c r="B4" s="83" t="s">
        <v>159</v>
      </c>
      <c r="C4" s="701" t="s">
        <v>842</v>
      </c>
      <c r="D4" s="702" t="s">
        <v>843</v>
      </c>
      <c r="E4" s="214" t="s">
        <v>844</v>
      </c>
    </row>
    <row r="5" spans="2:5">
      <c r="B5" s="482" t="str">
        <f>inputPrYr!B23</f>
        <v>Hetlinger Development (28)</v>
      </c>
      <c r="C5" s="453" t="str">
        <f>CONCATENATE("Actual for ",E1-2,"")</f>
        <v>Actual for 2012</v>
      </c>
      <c r="D5" s="453" t="str">
        <f>CONCATENATE("Estimate for ",E1-1,"")</f>
        <v>Estimate for 2013</v>
      </c>
      <c r="E5" s="300" t="str">
        <f>CONCATENATE("Year for ",E1,"")</f>
        <v>Year for 2014</v>
      </c>
    </row>
    <row r="6" spans="2:5">
      <c r="B6" s="147" t="s">
        <v>278</v>
      </c>
      <c r="C6" s="450">
        <v>1361</v>
      </c>
      <c r="D6" s="454">
        <f>C34</f>
        <v>1902</v>
      </c>
      <c r="E6" s="263">
        <f>D34</f>
        <v>2331</v>
      </c>
    </row>
    <row r="7" spans="2:5">
      <c r="B7" s="288" t="s">
        <v>280</v>
      </c>
      <c r="C7" s="303"/>
      <c r="D7" s="303"/>
      <c r="E7" s="126"/>
    </row>
    <row r="8" spans="2:5">
      <c r="B8" s="147" t="s">
        <v>160</v>
      </c>
      <c r="C8" s="450">
        <v>17843</v>
      </c>
      <c r="D8" s="454">
        <f>IF(inputPrYr!H23&gt;0,inputPrYr!H23,inputPrYr!E23)+223</f>
        <v>17779</v>
      </c>
      <c r="E8" s="335" t="s">
        <v>148</v>
      </c>
    </row>
    <row r="9" spans="2:5">
      <c r="B9" s="147" t="s">
        <v>161</v>
      </c>
      <c r="C9" s="450">
        <v>343</v>
      </c>
      <c r="D9" s="450">
        <v>300</v>
      </c>
      <c r="E9" s="111">
        <v>300</v>
      </c>
    </row>
    <row r="10" spans="2:5">
      <c r="B10" s="147" t="s">
        <v>162</v>
      </c>
      <c r="C10" s="450">
        <v>2355</v>
      </c>
      <c r="D10" s="450">
        <v>2350</v>
      </c>
      <c r="E10" s="263">
        <f>mvalloc!E14</f>
        <v>2216.94</v>
      </c>
    </row>
    <row r="11" spans="2:5">
      <c r="B11" s="147" t="s">
        <v>163</v>
      </c>
      <c r="C11" s="450"/>
      <c r="D11" s="450"/>
      <c r="E11" s="263">
        <f>mvalloc!F14</f>
        <v>31.36</v>
      </c>
    </row>
    <row r="12" spans="2:5">
      <c r="B12" s="303" t="s">
        <v>227</v>
      </c>
      <c r="C12" s="450"/>
      <c r="D12" s="450"/>
      <c r="E12" s="263">
        <f>mvalloc!G14</f>
        <v>95.75</v>
      </c>
    </row>
    <row r="13" spans="2:5">
      <c r="B13" s="316"/>
      <c r="C13" s="450"/>
      <c r="D13" s="450"/>
      <c r="E13" s="111"/>
    </row>
    <row r="14" spans="2:5">
      <c r="B14" s="316"/>
      <c r="C14" s="450"/>
      <c r="D14" s="450"/>
      <c r="E14" s="111"/>
    </row>
    <row r="15" spans="2:5">
      <c r="B15" s="316"/>
      <c r="C15" s="450"/>
      <c r="D15" s="450"/>
      <c r="E15" s="111"/>
    </row>
    <row r="16" spans="2:5">
      <c r="B16" s="316"/>
      <c r="C16" s="450"/>
      <c r="D16" s="450"/>
      <c r="E16" s="111"/>
    </row>
    <row r="17" spans="2:10">
      <c r="B17" s="306" t="s">
        <v>167</v>
      </c>
      <c r="C17" s="450"/>
      <c r="D17" s="450">
        <v>0</v>
      </c>
      <c r="E17" s="111"/>
    </row>
    <row r="18" spans="2:10">
      <c r="B18" s="307" t="s">
        <v>75</v>
      </c>
      <c r="C18" s="450"/>
      <c r="D18" s="450"/>
      <c r="E18" s="111"/>
    </row>
    <row r="19" spans="2:10">
      <c r="B19" s="307" t="s">
        <v>682</v>
      </c>
      <c r="C19" s="451" t="str">
        <f>IF(C20*0.1&lt;C18,"Exceed 10% Rule","")</f>
        <v/>
      </c>
      <c r="D19" s="451" t="str">
        <f>IF(D20*0.1&lt;D18,"Exceed 10% Rule","")</f>
        <v/>
      </c>
      <c r="E19" s="342" t="str">
        <f>IF(E20*0.1+E40&lt;E18,"Exceed 10% Rule","")</f>
        <v/>
      </c>
    </row>
    <row r="20" spans="2:10">
      <c r="B20" s="309" t="s">
        <v>168</v>
      </c>
      <c r="C20" s="452">
        <f>SUM(C8:C18)</f>
        <v>20541</v>
      </c>
      <c r="D20" s="452">
        <f>SUM(D8:D18)</f>
        <v>20429</v>
      </c>
      <c r="E20" s="350">
        <f>SUM(E8:E18)</f>
        <v>2644.05</v>
      </c>
    </row>
    <row r="21" spans="2:10">
      <c r="B21" s="309" t="s">
        <v>169</v>
      </c>
      <c r="C21" s="452">
        <f>C6+C20</f>
        <v>21902</v>
      </c>
      <c r="D21" s="452">
        <f>D6+D20</f>
        <v>22331</v>
      </c>
      <c r="E21" s="350">
        <f>E6+E20</f>
        <v>4975.05</v>
      </c>
    </row>
    <row r="22" spans="2:10">
      <c r="B22" s="147" t="s">
        <v>172</v>
      </c>
      <c r="C22" s="307"/>
      <c r="D22" s="307"/>
      <c r="E22" s="107"/>
    </row>
    <row r="23" spans="2:10">
      <c r="B23" s="316" t="s">
        <v>966</v>
      </c>
      <c r="C23" s="450">
        <v>20000</v>
      </c>
      <c r="D23" s="450">
        <v>20000</v>
      </c>
      <c r="E23" s="111">
        <v>20000</v>
      </c>
    </row>
    <row r="24" spans="2:10">
      <c r="B24" s="316"/>
      <c r="C24" s="450"/>
      <c r="D24" s="450"/>
      <c r="E24" s="111"/>
      <c r="G24" s="800" t="str">
        <f>CONCATENATE("Desired Carryover Into ",E1+1,"")</f>
        <v>Desired Carryover Into 2015</v>
      </c>
      <c r="H24" s="801"/>
      <c r="I24" s="801"/>
      <c r="J24" s="802"/>
    </row>
    <row r="25" spans="2:10">
      <c r="B25" s="316"/>
      <c r="C25" s="450"/>
      <c r="D25" s="450"/>
      <c r="E25" s="111"/>
      <c r="G25" s="648"/>
      <c r="H25" s="649"/>
      <c r="I25" s="650"/>
      <c r="J25" s="651"/>
    </row>
    <row r="26" spans="2:10">
      <c r="B26" s="316"/>
      <c r="C26" s="450"/>
      <c r="D26" s="450"/>
      <c r="E26" s="111"/>
      <c r="G26" s="652" t="s">
        <v>688</v>
      </c>
      <c r="H26" s="650"/>
      <c r="I26" s="650"/>
      <c r="J26" s="653">
        <v>0</v>
      </c>
    </row>
    <row r="27" spans="2:10">
      <c r="B27" s="316"/>
      <c r="C27" s="450"/>
      <c r="D27" s="450"/>
      <c r="E27" s="111"/>
      <c r="G27" s="648" t="s">
        <v>689</v>
      </c>
      <c r="H27" s="649"/>
      <c r="I27" s="649"/>
      <c r="J27" s="654" t="str">
        <f>IF(J26=0,"",ROUND((J26+E40-G39)/inputOth!E6*1000,3)-G44)</f>
        <v/>
      </c>
    </row>
    <row r="28" spans="2:10">
      <c r="B28" s="316"/>
      <c r="C28" s="450"/>
      <c r="D28" s="450"/>
      <c r="E28" s="111"/>
      <c r="G28" s="655" t="str">
        <f>CONCATENATE("",E1," Tot Exp/Non-Appr Must Be:")</f>
        <v>2014 Tot Exp/Non-Appr Must Be:</v>
      </c>
      <c r="H28" s="656"/>
      <c r="I28" s="657"/>
      <c r="J28" s="658">
        <f>IF(J26&gt;0,IF(E37&lt;E21,IF(J26=G39,E37,((J26-G39)*(1-D39))+E21),E37+(J26-G39)),0)</f>
        <v>0</v>
      </c>
    </row>
    <row r="29" spans="2:10">
      <c r="B29" s="316"/>
      <c r="C29" s="450"/>
      <c r="D29" s="450"/>
      <c r="E29" s="111"/>
      <c r="G29" s="659" t="s">
        <v>840</v>
      </c>
      <c r="H29" s="660"/>
      <c r="I29" s="660"/>
      <c r="J29" s="661">
        <f>IF(J26&gt;0,J28-E37,0)</f>
        <v>0</v>
      </c>
    </row>
    <row r="30" spans="2:10">
      <c r="B30" s="307" t="s">
        <v>77</v>
      </c>
      <c r="C30" s="450"/>
      <c r="D30" s="450"/>
      <c r="E30" s="119" t="str">
        <f>Nhood!E13</f>
        <v/>
      </c>
      <c r="G30" s="1"/>
      <c r="H30" s="1"/>
      <c r="I30" s="1"/>
      <c r="J30" s="1"/>
    </row>
    <row r="31" spans="2:10">
      <c r="B31" s="307" t="s">
        <v>75</v>
      </c>
      <c r="C31" s="450"/>
      <c r="D31" s="450"/>
      <c r="E31" s="111"/>
      <c r="G31" s="800" t="str">
        <f>CONCATENATE("Projected Carryover Into ",E1+1,"")</f>
        <v>Projected Carryover Into 2015</v>
      </c>
      <c r="H31" s="807"/>
      <c r="I31" s="807"/>
      <c r="J31" s="808"/>
    </row>
    <row r="32" spans="2:10">
      <c r="B32" s="307" t="s">
        <v>681</v>
      </c>
      <c r="C32" s="451" t="str">
        <f>IF(C33*0.1&lt;C31,"Exceed 10% Rule","")</f>
        <v/>
      </c>
      <c r="D32" s="451" t="str">
        <f>IF(D33*0.1&lt;D31,"Exceed 10% Rule","")</f>
        <v/>
      </c>
      <c r="E32" s="342" t="str">
        <f>IF(E33*0.1&lt;E31,"Exceed 10% Rule","")</f>
        <v/>
      </c>
      <c r="G32" s="648"/>
      <c r="H32" s="650"/>
      <c r="I32" s="650"/>
      <c r="J32" s="676"/>
    </row>
    <row r="33" spans="2:11">
      <c r="B33" s="309" t="s">
        <v>173</v>
      </c>
      <c r="C33" s="452">
        <f>SUM(C23:C31)</f>
        <v>20000</v>
      </c>
      <c r="D33" s="452">
        <f>SUM(D23:D31)</f>
        <v>20000</v>
      </c>
      <c r="E33" s="350">
        <f>SUM(E23:E31)</f>
        <v>20000</v>
      </c>
      <c r="G33" s="677">
        <f>D34</f>
        <v>2331</v>
      </c>
      <c r="H33" s="667" t="str">
        <f>CONCATENATE("",E1-1," Ending Cash Balance (est.)")</f>
        <v>2013 Ending Cash Balance (est.)</v>
      </c>
      <c r="I33" s="678"/>
      <c r="J33" s="676"/>
    </row>
    <row r="34" spans="2:11">
      <c r="B34" s="147" t="s">
        <v>279</v>
      </c>
      <c r="C34" s="455">
        <f>C21-C33</f>
        <v>1902</v>
      </c>
      <c r="D34" s="455">
        <f>D21-D33</f>
        <v>2331</v>
      </c>
      <c r="E34" s="335" t="s">
        <v>148</v>
      </c>
      <c r="G34" s="677">
        <f>E20</f>
        <v>2644.05</v>
      </c>
      <c r="H34" s="650" t="str">
        <f>CONCATENATE("",E1," Non-AV Receipts (est.)")</f>
        <v>2014 Non-AV Receipts (est.)</v>
      </c>
      <c r="I34" s="678"/>
      <c r="J34" s="676"/>
    </row>
    <row r="35" spans="2:11">
      <c r="B35" s="285" t="str">
        <f>CONCATENATE("",E$1-2,"/",E$1-1," Budget Authority Amount:")</f>
        <v>2012/2013 Budget Authority Amount:</v>
      </c>
      <c r="C35" s="277">
        <f>inputOth!B37</f>
        <v>20000</v>
      </c>
      <c r="D35" s="277">
        <f>inputPrYr!D23</f>
        <v>20000</v>
      </c>
      <c r="E35" s="335" t="s">
        <v>148</v>
      </c>
      <c r="F35" s="318"/>
      <c r="G35" s="679">
        <f>IF(E39&gt;0,E38,E40)</f>
        <v>16024.95</v>
      </c>
      <c r="H35" s="650" t="str">
        <f>CONCATENATE("",E1," Ad Valorem Tax (est.)")</f>
        <v>2014 Ad Valorem Tax (est.)</v>
      </c>
      <c r="I35" s="678"/>
      <c r="J35" s="676"/>
      <c r="K35" s="664" t="str">
        <f>IF(G35=E40,"","Note: Does not include Delinquent Taxes")</f>
        <v>Note: Does not include Delinquent Taxes</v>
      </c>
    </row>
    <row r="36" spans="2:11">
      <c r="B36" s="285"/>
      <c r="C36" s="790" t="s">
        <v>685</v>
      </c>
      <c r="D36" s="791"/>
      <c r="E36" s="111">
        <v>1000</v>
      </c>
      <c r="F36" s="500" t="str">
        <f>IF(E33/0.95-E33&lt;E36,"Exceeds 5%","")</f>
        <v/>
      </c>
      <c r="G36" s="677">
        <f>SUM(G33:G35)</f>
        <v>21000</v>
      </c>
      <c r="H36" s="650" t="str">
        <f>CONCATENATE("Total ",E1," Resources Available")</f>
        <v>Total 2014 Resources Available</v>
      </c>
      <c r="I36" s="678"/>
      <c r="J36" s="676"/>
    </row>
    <row r="37" spans="2:11">
      <c r="B37" s="504" t="str">
        <f>CONCATENATE(C91,"     ",D91)</f>
        <v xml:space="preserve">     </v>
      </c>
      <c r="C37" s="792" t="s">
        <v>686</v>
      </c>
      <c r="D37" s="793"/>
      <c r="E37" s="263">
        <f>E33+E36</f>
        <v>21000</v>
      </c>
      <c r="G37" s="680"/>
      <c r="H37" s="650"/>
      <c r="I37" s="650"/>
      <c r="J37" s="676"/>
    </row>
    <row r="38" spans="2:11">
      <c r="B38" s="504" t="str">
        <f>CONCATENATE(C92,"     ",D92)</f>
        <v xml:space="preserve">     </v>
      </c>
      <c r="C38" s="319"/>
      <c r="D38" s="238" t="s">
        <v>174</v>
      </c>
      <c r="E38" s="119">
        <f>IF(E37-E21&gt;0,E37-E21,0)</f>
        <v>16024.95</v>
      </c>
      <c r="G38" s="679">
        <f>ROUND(C33*0.05+C33,0)</f>
        <v>21000</v>
      </c>
      <c r="H38" s="650" t="str">
        <f>CONCATENATE("Less ",E1-2," Expenditures + 5%")</f>
        <v>Less 2012 Expenditures + 5%</v>
      </c>
      <c r="I38" s="678"/>
      <c r="J38" s="681"/>
    </row>
    <row r="39" spans="2:11">
      <c r="B39" s="238"/>
      <c r="C39" s="502" t="s">
        <v>687</v>
      </c>
      <c r="D39" s="647">
        <f>inputOth!$E$23</f>
        <v>0.03</v>
      </c>
      <c r="E39" s="263">
        <f>ROUND(IF(D39&gt;0,($E$38*D39),0),0)</f>
        <v>481</v>
      </c>
      <c r="G39" s="682">
        <f>G36-G38</f>
        <v>0</v>
      </c>
      <c r="H39" s="683" t="str">
        <f>CONCATENATE("Projected ",E1+1," carryover (est.)")</f>
        <v>Projected 2015 carryover (est.)</v>
      </c>
      <c r="I39" s="684"/>
      <c r="J39" s="685"/>
    </row>
    <row r="40" spans="2:11">
      <c r="B40" s="84"/>
      <c r="C40" s="798" t="str">
        <f>CONCATENATE("Amount of  ",$E$1-1," Ad Valorem Tax")</f>
        <v>Amount of  2013 Ad Valorem Tax</v>
      </c>
      <c r="D40" s="799"/>
      <c r="E40" s="346">
        <f>E38+E39</f>
        <v>16505.95</v>
      </c>
      <c r="G40" s="1"/>
      <c r="H40" s="1"/>
      <c r="I40" s="1"/>
      <c r="J40" s="1"/>
    </row>
    <row r="41" spans="2:11">
      <c r="B41" s="84"/>
      <c r="C41" s="325"/>
      <c r="D41" s="325"/>
      <c r="E41" s="325"/>
      <c r="G41" s="803" t="s">
        <v>841</v>
      </c>
      <c r="H41" s="804"/>
      <c r="I41" s="804"/>
      <c r="J41" s="805"/>
    </row>
    <row r="42" spans="2:11">
      <c r="B42" s="83" t="s">
        <v>159</v>
      </c>
      <c r="C42" s="701" t="str">
        <f t="shared" ref="C42:E43" si="0">C4</f>
        <v xml:space="preserve">Prior Year </v>
      </c>
      <c r="D42" s="702" t="str">
        <f t="shared" si="0"/>
        <v xml:space="preserve">Current Year </v>
      </c>
      <c r="E42" s="214" t="str">
        <f t="shared" si="0"/>
        <v xml:space="preserve">Proposed Budget </v>
      </c>
      <c r="G42" s="666"/>
      <c r="H42" s="667"/>
      <c r="I42" s="668"/>
      <c r="J42" s="669"/>
    </row>
    <row r="43" spans="2:11">
      <c r="B43" s="482" t="str">
        <f>inputPrYr!B24</f>
        <v>Special Bridge 1135 (33)</v>
      </c>
      <c r="C43" s="453" t="str">
        <f t="shared" si="0"/>
        <v>Actual for 2012</v>
      </c>
      <c r="D43" s="453" t="str">
        <f t="shared" si="0"/>
        <v>Estimate for 2013</v>
      </c>
      <c r="E43" s="313" t="str">
        <f t="shared" si="0"/>
        <v>Year for 2014</v>
      </c>
      <c r="G43" s="670">
        <f>summ!H23</f>
        <v>6.1400000000000003E-2</v>
      </c>
      <c r="H43" s="667" t="str">
        <f>CONCATENATE("",E1," Fund Mill Rate")</f>
        <v>2014 Fund Mill Rate</v>
      </c>
      <c r="I43" s="668"/>
      <c r="J43" s="669"/>
    </row>
    <row r="44" spans="2:11">
      <c r="B44" s="147" t="s">
        <v>278</v>
      </c>
      <c r="C44" s="450">
        <v>282300</v>
      </c>
      <c r="D44" s="454">
        <f>C74</f>
        <v>331791</v>
      </c>
      <c r="E44" s="263">
        <f>D74</f>
        <v>281009</v>
      </c>
      <c r="G44" s="671">
        <f>summ!E23</f>
        <v>7.4999999999999997E-2</v>
      </c>
      <c r="H44" s="667" t="str">
        <f>CONCATENATE("",E1-1," Fund Mill Rate")</f>
        <v>2013 Fund Mill Rate</v>
      </c>
      <c r="I44" s="668"/>
      <c r="J44" s="669"/>
    </row>
    <row r="45" spans="2:11">
      <c r="B45" s="288" t="s">
        <v>280</v>
      </c>
      <c r="C45" s="303"/>
      <c r="D45" s="303"/>
      <c r="E45" s="126"/>
      <c r="G45" s="672">
        <f>summ!H61</f>
        <v>56.5124</v>
      </c>
      <c r="H45" s="667" t="str">
        <f>CONCATENATE("Total ",E1," Mill Rate")</f>
        <v>Total 2014 Mill Rate</v>
      </c>
      <c r="I45" s="668"/>
      <c r="J45" s="669"/>
    </row>
    <row r="46" spans="2:11">
      <c r="B46" s="147" t="s">
        <v>160</v>
      </c>
      <c r="C46" s="450">
        <v>541603</v>
      </c>
      <c r="D46" s="454">
        <f>IF(inputPrYr!H24&gt;0,inputPrYr!H24,inputPrYr!E24)+183</f>
        <v>467591</v>
      </c>
      <c r="E46" s="335" t="s">
        <v>148</v>
      </c>
      <c r="G46" s="671">
        <f>summ!E61</f>
        <v>63.972000000000008</v>
      </c>
      <c r="H46" s="673" t="str">
        <f>CONCATENATE("Total ",E1-1," Mill Rate")</f>
        <v>Total 2013 Mill Rate</v>
      </c>
      <c r="I46" s="674"/>
      <c r="J46" s="675"/>
    </row>
    <row r="47" spans="2:11">
      <c r="B47" s="147" t="s">
        <v>161</v>
      </c>
      <c r="C47" s="450">
        <v>9744</v>
      </c>
      <c r="D47" s="450">
        <v>7500</v>
      </c>
      <c r="E47" s="111">
        <v>7000</v>
      </c>
      <c r="G47" s="1"/>
      <c r="H47" s="1"/>
      <c r="I47" s="1"/>
      <c r="J47" s="1"/>
    </row>
    <row r="48" spans="2:11">
      <c r="B48" s="147" t="s">
        <v>162</v>
      </c>
      <c r="C48" s="450">
        <v>53979</v>
      </c>
      <c r="D48" s="450">
        <v>60965</v>
      </c>
      <c r="E48" s="263">
        <f>mvalloc!E15</f>
        <v>69634.570000000007</v>
      </c>
      <c r="G48" s="1"/>
      <c r="H48" s="1"/>
      <c r="I48" s="1"/>
      <c r="J48" s="1"/>
    </row>
    <row r="49" spans="2:10">
      <c r="B49" s="147" t="s">
        <v>163</v>
      </c>
      <c r="C49" s="450"/>
      <c r="D49" s="450"/>
      <c r="E49" s="263">
        <f>mvalloc!F15</f>
        <v>985.04</v>
      </c>
      <c r="G49" s="1"/>
      <c r="H49" s="1"/>
      <c r="I49" s="1"/>
      <c r="J49" s="1"/>
    </row>
    <row r="50" spans="2:10">
      <c r="B50" s="303" t="s">
        <v>227</v>
      </c>
      <c r="C50" s="450"/>
      <c r="D50" s="450"/>
      <c r="E50" s="263">
        <f>mvalloc!G15</f>
        <v>3007.48</v>
      </c>
      <c r="G50" s="1"/>
      <c r="H50" s="1"/>
      <c r="I50" s="1"/>
      <c r="J50" s="1"/>
    </row>
    <row r="51" spans="2:10">
      <c r="B51" s="316" t="s">
        <v>977</v>
      </c>
      <c r="C51" s="450">
        <v>6094</v>
      </c>
      <c r="D51" s="450">
        <v>16941</v>
      </c>
      <c r="E51" s="111">
        <v>700</v>
      </c>
      <c r="G51" s="1"/>
      <c r="H51" s="1"/>
      <c r="I51" s="1"/>
      <c r="J51" s="1"/>
    </row>
    <row r="52" spans="2:10">
      <c r="B52" s="316"/>
      <c r="C52" s="450"/>
      <c r="D52" s="450"/>
      <c r="E52" s="111"/>
      <c r="G52" s="1"/>
      <c r="H52" s="1"/>
      <c r="I52" s="1"/>
      <c r="J52" s="1"/>
    </row>
    <row r="53" spans="2:10">
      <c r="B53" s="316"/>
      <c r="C53" s="450"/>
      <c r="D53" s="450"/>
      <c r="E53" s="111"/>
      <c r="G53" s="1"/>
      <c r="H53" s="1"/>
      <c r="I53" s="1"/>
      <c r="J53" s="1"/>
    </row>
    <row r="54" spans="2:10">
      <c r="B54" s="316"/>
      <c r="C54" s="450"/>
      <c r="D54" s="450"/>
      <c r="E54" s="111"/>
      <c r="G54" s="1"/>
      <c r="H54" s="1"/>
      <c r="I54" s="1"/>
      <c r="J54" s="1"/>
    </row>
    <row r="55" spans="2:10">
      <c r="B55" s="316"/>
      <c r="C55" s="450"/>
      <c r="D55" s="450"/>
      <c r="E55" s="111"/>
      <c r="G55" s="1"/>
      <c r="H55" s="1"/>
      <c r="I55" s="1"/>
      <c r="J55" s="1"/>
    </row>
    <row r="56" spans="2:10">
      <c r="B56" s="316"/>
      <c r="C56" s="450"/>
      <c r="D56" s="450"/>
      <c r="E56" s="111"/>
      <c r="G56" s="1"/>
      <c r="H56" s="1"/>
      <c r="I56" s="1"/>
      <c r="J56" s="1"/>
    </row>
    <row r="57" spans="2:10">
      <c r="B57" s="306" t="s">
        <v>167</v>
      </c>
      <c r="C57" s="450"/>
      <c r="D57" s="450"/>
      <c r="E57" s="111"/>
      <c r="G57" s="1"/>
      <c r="H57" s="1"/>
      <c r="I57" s="1"/>
      <c r="J57" s="1"/>
    </row>
    <row r="58" spans="2:10">
      <c r="B58" s="307" t="s">
        <v>75</v>
      </c>
      <c r="C58" s="450">
        <v>0</v>
      </c>
      <c r="D58" s="450"/>
      <c r="E58" s="111"/>
      <c r="G58" s="1"/>
      <c r="H58" s="1"/>
      <c r="I58" s="1"/>
      <c r="J58" s="1"/>
    </row>
    <row r="59" spans="2:10">
      <c r="B59" s="307" t="s">
        <v>682</v>
      </c>
      <c r="C59" s="451" t="str">
        <f>IF(C60*0.1&lt;C58,"Exceed 10% Rule","")</f>
        <v/>
      </c>
      <c r="D59" s="451" t="str">
        <f>IF(D60*0.1&lt;D58,"Exceed 10% Rule","")</f>
        <v/>
      </c>
      <c r="E59" s="342" t="str">
        <f>IF(E60*0.1+E80&lt;E58,"Exceed 10% Rule","")</f>
        <v/>
      </c>
      <c r="G59" s="1"/>
      <c r="H59" s="1"/>
      <c r="I59" s="1"/>
      <c r="J59" s="1"/>
    </row>
    <row r="60" spans="2:10">
      <c r="B60" s="309" t="s">
        <v>168</v>
      </c>
      <c r="C60" s="452">
        <f>SUM(C46:C58)</f>
        <v>611420</v>
      </c>
      <c r="D60" s="452">
        <f>SUM(D46:D58)</f>
        <v>552997</v>
      </c>
      <c r="E60" s="350">
        <f>SUM(E46:E58)</f>
        <v>81327.09</v>
      </c>
      <c r="G60" s="1"/>
      <c r="H60" s="1"/>
      <c r="I60" s="1"/>
      <c r="J60" s="1"/>
    </row>
    <row r="61" spans="2:10">
      <c r="B61" s="309" t="s">
        <v>169</v>
      </c>
      <c r="C61" s="452">
        <f>C44+C60</f>
        <v>893720</v>
      </c>
      <c r="D61" s="452">
        <f>D44+D60</f>
        <v>884788</v>
      </c>
      <c r="E61" s="350">
        <f>E44+E60</f>
        <v>362336.08999999997</v>
      </c>
      <c r="G61" s="1"/>
      <c r="H61" s="1"/>
      <c r="I61" s="1"/>
      <c r="J61" s="1"/>
    </row>
    <row r="62" spans="2:10">
      <c r="B62" s="147" t="s">
        <v>172</v>
      </c>
      <c r="C62" s="307"/>
      <c r="D62" s="307"/>
      <c r="E62" s="107"/>
      <c r="G62" s="1"/>
      <c r="H62" s="1"/>
      <c r="I62" s="1"/>
      <c r="J62" s="1"/>
    </row>
    <row r="63" spans="2:10">
      <c r="B63" s="316" t="s">
        <v>985</v>
      </c>
      <c r="C63" s="450">
        <v>217135</v>
      </c>
      <c r="D63" s="450">
        <v>248166</v>
      </c>
      <c r="E63" s="111">
        <v>276960</v>
      </c>
      <c r="G63" s="1"/>
      <c r="H63" s="1"/>
      <c r="I63" s="1"/>
      <c r="J63" s="1"/>
    </row>
    <row r="64" spans="2:10">
      <c r="B64" s="316" t="s">
        <v>973</v>
      </c>
      <c r="C64" s="450">
        <v>48972</v>
      </c>
      <c r="D64" s="450">
        <v>148500</v>
      </c>
      <c r="E64" s="111">
        <v>173300</v>
      </c>
      <c r="G64" s="800" t="str">
        <f>CONCATENATE("Desired Carryover Into ",E1+1,"")</f>
        <v>Desired Carryover Into 2015</v>
      </c>
      <c r="H64" s="801"/>
      <c r="I64" s="801"/>
      <c r="J64" s="802"/>
    </row>
    <row r="65" spans="2:11">
      <c r="B65" s="316" t="s">
        <v>974</v>
      </c>
      <c r="C65" s="450">
        <v>295822</v>
      </c>
      <c r="D65" s="450">
        <v>206113</v>
      </c>
      <c r="E65" s="111">
        <v>220459</v>
      </c>
      <c r="G65" s="648"/>
      <c r="H65" s="649"/>
      <c r="I65" s="650"/>
      <c r="J65" s="651"/>
    </row>
    <row r="66" spans="2:11">
      <c r="B66" s="316" t="s">
        <v>975</v>
      </c>
      <c r="C66" s="450">
        <v>0</v>
      </c>
      <c r="D66" s="450">
        <v>1000</v>
      </c>
      <c r="E66" s="111">
        <v>1000</v>
      </c>
      <c r="G66" s="652" t="s">
        <v>688</v>
      </c>
      <c r="H66" s="650"/>
      <c r="I66" s="650"/>
      <c r="J66" s="653">
        <v>0</v>
      </c>
    </row>
    <row r="67" spans="2:11">
      <c r="B67" s="316" t="s">
        <v>986</v>
      </c>
      <c r="C67" s="450">
        <v>0</v>
      </c>
      <c r="D67" s="450"/>
      <c r="E67" s="111"/>
      <c r="G67" s="648" t="s">
        <v>689</v>
      </c>
      <c r="H67" s="649"/>
      <c r="I67" s="649"/>
      <c r="J67" s="654" t="str">
        <f>IF(J66=0,"",ROUND((J66+E80-G79)/inputOth!E6*1000,3)-G84)</f>
        <v/>
      </c>
    </row>
    <row r="68" spans="2:11">
      <c r="B68" s="316"/>
      <c r="C68" s="450"/>
      <c r="D68" s="450"/>
      <c r="E68" s="111"/>
      <c r="G68" s="655" t="str">
        <f>CONCATENATE("",E1," Tot Exp/Non-Appr Must Be:")</f>
        <v>2014 Tot Exp/Non-Appr Must Be:</v>
      </c>
      <c r="H68" s="656"/>
      <c r="I68" s="657"/>
      <c r="J68" s="658">
        <f>IF(J66&gt;0,IF(E77&lt;E61,IF(J66=G79,E77,((J66-G79)*(1-D79))+E61),E77+(J66-G79)),0)</f>
        <v>0</v>
      </c>
    </row>
    <row r="69" spans="2:11">
      <c r="B69" s="316"/>
      <c r="C69" s="450"/>
      <c r="D69" s="450"/>
      <c r="E69" s="111"/>
      <c r="G69" s="659" t="s">
        <v>840</v>
      </c>
      <c r="H69" s="660"/>
      <c r="I69" s="660"/>
      <c r="J69" s="661">
        <f>IF(J66&gt;0,J68-E77,0)</f>
        <v>0</v>
      </c>
    </row>
    <row r="70" spans="2:11">
      <c r="B70" s="307" t="s">
        <v>77</v>
      </c>
      <c r="C70" s="450"/>
      <c r="D70" s="450"/>
      <c r="E70" s="119" t="str">
        <f>Nhood!E14</f>
        <v/>
      </c>
      <c r="G70" s="1"/>
      <c r="H70" s="1"/>
      <c r="I70" s="1"/>
      <c r="J70" s="1"/>
    </row>
    <row r="71" spans="2:11">
      <c r="B71" s="307" t="s">
        <v>75</v>
      </c>
      <c r="C71" s="450"/>
      <c r="D71" s="450"/>
      <c r="E71" s="111"/>
      <c r="G71" s="800" t="str">
        <f>CONCATENATE("Projected Carryover Into ",E1+1,"")</f>
        <v>Projected Carryover Into 2015</v>
      </c>
      <c r="H71" s="809"/>
      <c r="I71" s="809"/>
      <c r="J71" s="808"/>
    </row>
    <row r="72" spans="2:11">
      <c r="B72" s="307" t="s">
        <v>681</v>
      </c>
      <c r="C72" s="451" t="str">
        <f>IF(C73*0.1&lt;C71,"Exceed 10% Rule","")</f>
        <v/>
      </c>
      <c r="D72" s="451" t="str">
        <f>IF(D73*0.1&lt;D71,"Exceed 10% Rule","")</f>
        <v/>
      </c>
      <c r="E72" s="342" t="str">
        <f>IF(E73*0.1&lt;E71,"Exceed 10% Rule","")</f>
        <v/>
      </c>
      <c r="G72" s="686"/>
      <c r="H72" s="649"/>
      <c r="I72" s="649"/>
      <c r="J72" s="681"/>
    </row>
    <row r="73" spans="2:11">
      <c r="B73" s="309" t="s">
        <v>173</v>
      </c>
      <c r="C73" s="452">
        <f>SUM(C63:C71)</f>
        <v>561929</v>
      </c>
      <c r="D73" s="452">
        <f>SUM(D63:D71)</f>
        <v>603779</v>
      </c>
      <c r="E73" s="350">
        <f>SUM(E63:E71)</f>
        <v>671719</v>
      </c>
      <c r="G73" s="677">
        <f>D74</f>
        <v>281009</v>
      </c>
      <c r="H73" s="667" t="str">
        <f>CONCATENATE("",E1-1," Ending Cash Balance (est.)")</f>
        <v>2013 Ending Cash Balance (est.)</v>
      </c>
      <c r="I73" s="678"/>
      <c r="J73" s="681"/>
    </row>
    <row r="74" spans="2:11">
      <c r="B74" s="147" t="s">
        <v>279</v>
      </c>
      <c r="C74" s="455">
        <f>C61-C73</f>
        <v>331791</v>
      </c>
      <c r="D74" s="455">
        <f>D61-D73</f>
        <v>281009</v>
      </c>
      <c r="E74" s="335" t="s">
        <v>148</v>
      </c>
      <c r="G74" s="677">
        <f>E60</f>
        <v>81327.09</v>
      </c>
      <c r="H74" s="650" t="str">
        <f>CONCATENATE("",E1," Non-AV Receipts (est.)")</f>
        <v>2014 Non-AV Receipts (est.)</v>
      </c>
      <c r="I74" s="678"/>
      <c r="J74" s="681"/>
    </row>
    <row r="75" spans="2:11">
      <c r="B75" s="285" t="str">
        <f>CONCATENATE("",E$1-2,"/",E$1-1," Budget Authority Amount:")</f>
        <v>2012/2013 Budget Authority Amount:</v>
      </c>
      <c r="C75" s="277">
        <f>inputOth!B38</f>
        <v>653759</v>
      </c>
      <c r="D75" s="277">
        <f>inputPrYr!D24</f>
        <v>653759</v>
      </c>
      <c r="E75" s="335" t="s">
        <v>148</v>
      </c>
      <c r="F75" s="318"/>
      <c r="G75" s="679">
        <f>IF(E79&gt;0,E78,E80)</f>
        <v>342968.91000000003</v>
      </c>
      <c r="H75" s="650" t="str">
        <f>CONCATENATE("",E1," Ad Valorem Tax (est.)")</f>
        <v>2014 Ad Valorem Tax (est.)</v>
      </c>
      <c r="I75" s="678"/>
      <c r="J75" s="681"/>
      <c r="K75" s="664" t="str">
        <f>IF(G75=E80,"","Note: Does not include Delinquent Taxes")</f>
        <v>Note: Does not include Delinquent Taxes</v>
      </c>
    </row>
    <row r="76" spans="2:11">
      <c r="B76" s="285"/>
      <c r="C76" s="790" t="s">
        <v>685</v>
      </c>
      <c r="D76" s="791"/>
      <c r="E76" s="111">
        <v>33586</v>
      </c>
      <c r="F76" s="500" t="str">
        <f>IF(E73/0.95-E73&lt;E76,"Exceeds 5%","")</f>
        <v/>
      </c>
      <c r="G76" s="687">
        <f>SUM(G73:G75)</f>
        <v>705305</v>
      </c>
      <c r="H76" s="650" t="str">
        <f>CONCATENATE("Total ",E1," Resources Available")</f>
        <v>Total 2014 Resources Available</v>
      </c>
      <c r="I76" s="688"/>
      <c r="J76" s="681"/>
    </row>
    <row r="77" spans="2:11">
      <c r="B77" s="503" t="str">
        <f>CONCATENATE(C93,"     ",D93)</f>
        <v xml:space="preserve">     </v>
      </c>
      <c r="C77" s="792" t="s">
        <v>686</v>
      </c>
      <c r="D77" s="793"/>
      <c r="E77" s="263">
        <f>E73+E76</f>
        <v>705305</v>
      </c>
      <c r="G77" s="689"/>
      <c r="H77" s="690"/>
      <c r="I77" s="649"/>
      <c r="J77" s="681"/>
    </row>
    <row r="78" spans="2:11">
      <c r="B78" s="503" t="str">
        <f>CONCATENATE(C94,"     ",D94)</f>
        <v xml:space="preserve">     </v>
      </c>
      <c r="C78" s="319"/>
      <c r="D78" s="238" t="s">
        <v>174</v>
      </c>
      <c r="E78" s="119">
        <f>IF(E77-E61&gt;0,E77-E61,0)</f>
        <v>342968.91000000003</v>
      </c>
      <c r="G78" s="691">
        <f>ROUND(C73*0.05+C73,0)</f>
        <v>590025</v>
      </c>
      <c r="H78" s="650" t="str">
        <f>CONCATENATE("Less ",E1-2," Expenditures + 5%")</f>
        <v>Less 2012 Expenditures + 5%</v>
      </c>
      <c r="I78" s="688"/>
      <c r="J78" s="681"/>
    </row>
    <row r="79" spans="2:11">
      <c r="B79" s="238"/>
      <c r="C79" s="502" t="s">
        <v>687</v>
      </c>
      <c r="D79" s="647">
        <f>inputOth!$E$23</f>
        <v>0.03</v>
      </c>
      <c r="E79" s="263">
        <f>ROUND(IF(D79&gt;0,($E$78*D79),0),0)</f>
        <v>10289</v>
      </c>
      <c r="G79" s="692">
        <f>G76-G78</f>
        <v>115280</v>
      </c>
      <c r="H79" s="683" t="str">
        <f>CONCATENATE("Projected ",E1+1," carryover (est.)")</f>
        <v>Projected 2015 carryover (est.)</v>
      </c>
      <c r="I79" s="693"/>
      <c r="J79" s="694"/>
    </row>
    <row r="80" spans="2:11">
      <c r="B80" s="84"/>
      <c r="C80" s="798" t="str">
        <f>CONCATENATE("Amount of  ",$E$1-1," Ad Valorem Tax")</f>
        <v>Amount of  2013 Ad Valorem Tax</v>
      </c>
      <c r="D80" s="799"/>
      <c r="E80" s="346">
        <f>E78+E79</f>
        <v>353257.91000000003</v>
      </c>
      <c r="G80" s="1"/>
      <c r="H80" s="1"/>
      <c r="I80" s="1"/>
      <c r="J80" s="1"/>
    </row>
    <row r="81" spans="2:10">
      <c r="B81" s="285" t="s">
        <v>188</v>
      </c>
      <c r="C81" s="347">
        <v>12</v>
      </c>
      <c r="D81" s="84"/>
      <c r="E81" s="84"/>
      <c r="G81" s="803" t="s">
        <v>841</v>
      </c>
      <c r="H81" s="804"/>
      <c r="I81" s="804"/>
      <c r="J81" s="805"/>
    </row>
    <row r="82" spans="2:10">
      <c r="G82" s="666"/>
      <c r="H82" s="667"/>
      <c r="I82" s="668"/>
      <c r="J82" s="669"/>
    </row>
    <row r="83" spans="2:10">
      <c r="E83" s="382"/>
      <c r="G83" s="670">
        <f>summ!H24</f>
        <v>1.3130999999999999</v>
      </c>
      <c r="H83" s="667" t="str">
        <f>CONCATENATE("",E1," Fund Mill Rate")</f>
        <v>2014 Fund Mill Rate</v>
      </c>
      <c r="I83" s="668"/>
      <c r="J83" s="669"/>
    </row>
    <row r="84" spans="2:10">
      <c r="E84" s="382"/>
      <c r="G84" s="671">
        <f>summ!E24</f>
        <v>1.99</v>
      </c>
      <c r="H84" s="667" t="str">
        <f>CONCATENATE("",E1-1," Fund Mill Rate")</f>
        <v>2013 Fund Mill Rate</v>
      </c>
      <c r="I84" s="668"/>
      <c r="J84" s="669"/>
    </row>
    <row r="85" spans="2:10">
      <c r="G85" s="672">
        <f>summ!H61</f>
        <v>56.5124</v>
      </c>
      <c r="H85" s="667" t="str">
        <f>CONCATENATE("Total ",E1," Mill Rate")</f>
        <v>Total 2014 Mill Rate</v>
      </c>
      <c r="I85" s="668"/>
      <c r="J85" s="669"/>
    </row>
    <row r="86" spans="2:10">
      <c r="G86" s="671">
        <f>summ!E61</f>
        <v>63.972000000000008</v>
      </c>
      <c r="H86" s="673" t="str">
        <f>CONCATENATE("Total ",E1-1," Mill Rate")</f>
        <v>Total 2013 Mill Rate</v>
      </c>
      <c r="I86" s="674"/>
      <c r="J86" s="675"/>
    </row>
    <row r="91" spans="2:10" hidden="1">
      <c r="C91" s="71" t="str">
        <f>IF(C33&gt;C35,"See Tab A","")</f>
        <v/>
      </c>
      <c r="D91" s="71" t="str">
        <f>IF(D33&gt;D35,"See Tab C","")</f>
        <v/>
      </c>
    </row>
    <row r="92" spans="2:10" hidden="1">
      <c r="C92" s="71" t="str">
        <f>IF(C34&lt;0,"See Tab B","")</f>
        <v/>
      </c>
      <c r="D92" s="71" t="str">
        <f>IF(D34&lt;0,"See Tab D","")</f>
        <v/>
      </c>
    </row>
    <row r="93" spans="2:10" hidden="1">
      <c r="C93" s="71" t="str">
        <f>IF(C73&gt;C75,"See Tab A","")</f>
        <v/>
      </c>
      <c r="D93" s="71" t="str">
        <f>IF(D73&gt;D75,"See Tab C","")</f>
        <v/>
      </c>
    </row>
    <row r="94" spans="2:10" hidden="1">
      <c r="C94" s="71" t="str">
        <f>IF(C74&lt;0,"See Tab B","")</f>
        <v/>
      </c>
      <c r="D94" s="71" t="str">
        <f>IF(D74&lt;0,"See Tab D","")</f>
        <v/>
      </c>
    </row>
  </sheetData>
  <mergeCells count="12">
    <mergeCell ref="G81:J81"/>
    <mergeCell ref="C36:D36"/>
    <mergeCell ref="C37:D37"/>
    <mergeCell ref="C76:D76"/>
    <mergeCell ref="C77:D77"/>
    <mergeCell ref="C80:D80"/>
    <mergeCell ref="C40:D40"/>
    <mergeCell ref="G24:J24"/>
    <mergeCell ref="G31:J31"/>
    <mergeCell ref="G41:J41"/>
    <mergeCell ref="G64:J64"/>
    <mergeCell ref="G71:J71"/>
  </mergeCells>
  <phoneticPr fontId="0" type="noConversion"/>
  <conditionalFormatting sqref="E71">
    <cfRule type="cellIs" dxfId="332" priority="3" stopIfTrue="1" operator="greaterThan">
      <formula>$E$73*0.1</formula>
    </cfRule>
  </conditionalFormatting>
  <conditionalFormatting sqref="E76">
    <cfRule type="cellIs" dxfId="331" priority="4" stopIfTrue="1" operator="greaterThan">
      <formula>$E$73/0.95-$E$73</formula>
    </cfRule>
  </conditionalFormatting>
  <conditionalFormatting sqref="E36">
    <cfRule type="cellIs" dxfId="330" priority="5" stopIfTrue="1" operator="greaterThan">
      <formula>$E$33/0.95-$E$33</formula>
    </cfRule>
  </conditionalFormatting>
  <conditionalFormatting sqref="E31">
    <cfRule type="cellIs" dxfId="329" priority="6" stopIfTrue="1" operator="greaterThan">
      <formula>$E$33*0.1</formula>
    </cfRule>
  </conditionalFormatting>
  <conditionalFormatting sqref="C74 C34">
    <cfRule type="cellIs" dxfId="328" priority="7" stopIfTrue="1" operator="lessThan">
      <formula>0</formula>
    </cfRule>
  </conditionalFormatting>
  <conditionalFormatting sqref="C73">
    <cfRule type="cellIs" dxfId="327" priority="8" stopIfTrue="1" operator="greaterThan">
      <formula>$C$75</formula>
    </cfRule>
  </conditionalFormatting>
  <conditionalFormatting sqref="D73">
    <cfRule type="cellIs" dxfId="326" priority="9" stopIfTrue="1" operator="greaterThan">
      <formula>$D$75</formula>
    </cfRule>
  </conditionalFormatting>
  <conditionalFormatting sqref="C71">
    <cfRule type="cellIs" dxfId="325" priority="10" stopIfTrue="1" operator="greaterThan">
      <formula>$C$73*0.1</formula>
    </cfRule>
  </conditionalFormatting>
  <conditionalFormatting sqref="D71">
    <cfRule type="cellIs" dxfId="324" priority="11" stopIfTrue="1" operator="greaterThan">
      <formula>$D$73*0.1</formula>
    </cfRule>
  </conditionalFormatting>
  <conditionalFormatting sqref="E58">
    <cfRule type="cellIs" dxfId="323" priority="12" stopIfTrue="1" operator="greaterThan">
      <formula>$E$60*0.1+E80</formula>
    </cfRule>
  </conditionalFormatting>
  <conditionalFormatting sqref="C58">
    <cfRule type="cellIs" dxfId="322" priority="13" stopIfTrue="1" operator="greaterThan">
      <formula>$C$60*0.1</formula>
    </cfRule>
  </conditionalFormatting>
  <conditionalFormatting sqref="D58">
    <cfRule type="cellIs" dxfId="321" priority="14" stopIfTrue="1" operator="greaterThan">
      <formula>$D$60*0.1</formula>
    </cfRule>
  </conditionalFormatting>
  <conditionalFormatting sqref="C33">
    <cfRule type="cellIs" dxfId="320" priority="15" stopIfTrue="1" operator="greaterThan">
      <formula>$C$35</formula>
    </cfRule>
  </conditionalFormatting>
  <conditionalFormatting sqref="D33">
    <cfRule type="cellIs" dxfId="319" priority="16" stopIfTrue="1" operator="greaterThan">
      <formula>$D$35</formula>
    </cfRule>
  </conditionalFormatting>
  <conditionalFormatting sqref="C31">
    <cfRule type="cellIs" dxfId="318" priority="17" stopIfTrue="1" operator="greaterThan">
      <formula>$C$33*0.1</formula>
    </cfRule>
  </conditionalFormatting>
  <conditionalFormatting sqref="D31">
    <cfRule type="cellIs" dxfId="317" priority="18" stopIfTrue="1" operator="greaterThan">
      <formula>$D$33*0.1</formula>
    </cfRule>
  </conditionalFormatting>
  <conditionalFormatting sqref="E18">
    <cfRule type="cellIs" dxfId="316" priority="19" stopIfTrue="1" operator="greaterThan">
      <formula>$E$20*0.1+E40</formula>
    </cfRule>
  </conditionalFormatting>
  <conditionalFormatting sqref="C18">
    <cfRule type="cellIs" dxfId="315" priority="20" stopIfTrue="1" operator="greaterThan">
      <formula>$C$20*0.1</formula>
    </cfRule>
  </conditionalFormatting>
  <conditionalFormatting sqref="D18">
    <cfRule type="cellIs" dxfId="314" priority="21" stopIfTrue="1" operator="greaterThan">
      <formula>$D$20*0.1</formula>
    </cfRule>
  </conditionalFormatting>
  <conditionalFormatting sqref="D34 D74">
    <cfRule type="cellIs" dxfId="313" priority="2" stopIfTrue="1" operator="lessThan">
      <formula>0</formula>
    </cfRule>
  </conditionalFormatting>
  <pageMargins left="1.1200000000000001" right="0.5" top="0.74" bottom="0.34" header="0.5" footer="0"/>
  <pageSetup scale="53" orientation="portrait" blackAndWhite="1" horizontalDpi="120" verticalDpi="144" r:id="rId1"/>
  <headerFooter alignWithMargins="0">
    <oddHeader xml:space="preserve">&amp;RState of Kansas
County
</oddHeader>
  </headerFooter>
</worksheet>
</file>

<file path=xl/worksheets/sheet21.xml><?xml version="1.0" encoding="utf-8"?>
<worksheet xmlns="http://schemas.openxmlformats.org/spreadsheetml/2006/main" xmlns:r="http://schemas.openxmlformats.org/officeDocument/2006/relationships">
  <sheetPr codeName="Sheet16">
    <pageSetUpPr fitToPage="1"/>
  </sheetPr>
  <dimension ref="B1:K94"/>
  <sheetViews>
    <sheetView topLeftCell="A19" zoomScaleNormal="100" workbookViewId="0">
      <selection activeCell="D47" sqref="D47"/>
    </sheetView>
  </sheetViews>
  <sheetFormatPr defaultRowHeight="15.75"/>
  <cols>
    <col min="1" max="1" width="2.44140625" style="71" customWidth="1"/>
    <col min="2" max="2" width="31.109375" style="71" customWidth="1"/>
    <col min="3" max="4" width="15.77734375" style="71" customWidth="1"/>
    <col min="5" max="5" width="16.2187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331"/>
      <c r="D3" s="331"/>
      <c r="E3" s="332"/>
    </row>
    <row r="4" spans="2:5">
      <c r="B4" s="83" t="s">
        <v>159</v>
      </c>
      <c r="C4" s="701" t="s">
        <v>842</v>
      </c>
      <c r="D4" s="702" t="s">
        <v>843</v>
      </c>
      <c r="E4" s="214" t="s">
        <v>844</v>
      </c>
    </row>
    <row r="5" spans="2:5">
      <c r="B5" s="482" t="str">
        <f>inputPrYr!B25</f>
        <v>Special R&amp;B 559A (41)</v>
      </c>
      <c r="C5" s="453" t="str">
        <f>CONCATENATE("Actual for ",E1-2,"")</f>
        <v>Actual for 2012</v>
      </c>
      <c r="D5" s="453" t="str">
        <f>CONCATENATE("Estimate for ",E1-1,"")</f>
        <v>Estimate for 2013</v>
      </c>
      <c r="E5" s="300" t="str">
        <f>CONCATENATE("Year for ",E1,"")</f>
        <v>Year for 2014</v>
      </c>
    </row>
    <row r="6" spans="2:5">
      <c r="B6" s="147" t="s">
        <v>278</v>
      </c>
      <c r="C6" s="450">
        <v>0</v>
      </c>
      <c r="D6" s="454">
        <f>C34</f>
        <v>6685</v>
      </c>
      <c r="E6" s="263">
        <f>D34</f>
        <v>-473</v>
      </c>
    </row>
    <row r="7" spans="2:5">
      <c r="B7" s="288" t="s">
        <v>280</v>
      </c>
      <c r="C7" s="303"/>
      <c r="D7" s="303"/>
      <c r="E7" s="126"/>
    </row>
    <row r="8" spans="2:5">
      <c r="B8" s="147" t="s">
        <v>160</v>
      </c>
      <c r="C8" s="450">
        <v>270015</v>
      </c>
      <c r="D8" s="454">
        <f>IF(inputPrYr!H25&gt;0,inputPrYr!H25,inputPrYr!E25)-26351</f>
        <v>303362</v>
      </c>
      <c r="E8" s="335" t="s">
        <v>148</v>
      </c>
    </row>
    <row r="9" spans="2:5">
      <c r="B9" s="147" t="s">
        <v>161</v>
      </c>
      <c r="C9" s="450">
        <v>5552</v>
      </c>
      <c r="D9" s="450">
        <v>3723</v>
      </c>
      <c r="E9" s="111">
        <v>7000</v>
      </c>
    </row>
    <row r="10" spans="2:5">
      <c r="B10" s="147" t="s">
        <v>162</v>
      </c>
      <c r="C10" s="450">
        <v>35113</v>
      </c>
      <c r="D10" s="450">
        <v>30000</v>
      </c>
      <c r="E10" s="263">
        <f>mvalloc!E16</f>
        <v>34675.18</v>
      </c>
    </row>
    <row r="11" spans="2:5">
      <c r="B11" s="147" t="s">
        <v>163</v>
      </c>
      <c r="C11" s="450"/>
      <c r="D11" s="450"/>
      <c r="E11" s="263">
        <f>mvalloc!F16</f>
        <v>490.5</v>
      </c>
    </row>
    <row r="12" spans="2:5">
      <c r="B12" s="303" t="s">
        <v>227</v>
      </c>
      <c r="C12" s="450"/>
      <c r="D12" s="450"/>
      <c r="E12" s="263">
        <f>mvalloc!G16</f>
        <v>1497.6</v>
      </c>
    </row>
    <row r="13" spans="2:5">
      <c r="B13" s="316" t="s">
        <v>987</v>
      </c>
      <c r="C13" s="450">
        <v>2703</v>
      </c>
      <c r="D13" s="450">
        <v>757</v>
      </c>
      <c r="E13" s="111"/>
    </row>
    <row r="14" spans="2:5">
      <c r="B14" s="316"/>
      <c r="C14" s="450"/>
      <c r="D14" s="450"/>
      <c r="E14" s="111"/>
    </row>
    <row r="15" spans="2:5">
      <c r="B15" s="316"/>
      <c r="C15" s="450"/>
      <c r="D15" s="450"/>
      <c r="E15" s="111"/>
    </row>
    <row r="16" spans="2:5">
      <c r="B16" s="316"/>
      <c r="C16" s="450"/>
      <c r="D16" s="450"/>
      <c r="E16" s="111"/>
    </row>
    <row r="17" spans="2:10">
      <c r="B17" s="306" t="s">
        <v>167</v>
      </c>
      <c r="C17" s="450"/>
      <c r="D17" s="450"/>
      <c r="E17" s="111"/>
    </row>
    <row r="18" spans="2:10">
      <c r="B18" s="307" t="s">
        <v>75</v>
      </c>
      <c r="C18" s="450">
        <v>0</v>
      </c>
      <c r="D18" s="450"/>
      <c r="E18" s="111"/>
    </row>
    <row r="19" spans="2:10">
      <c r="B19" s="307" t="s">
        <v>682</v>
      </c>
      <c r="C19" s="451" t="str">
        <f>IF(C20*0.1&lt;C18,"Exceed 10% Rule","")</f>
        <v/>
      </c>
      <c r="D19" s="451" t="str">
        <f>IF(D20*0.1&lt;D18,"Exceed 10% Rule","")</f>
        <v/>
      </c>
      <c r="E19" s="342" t="str">
        <f>IF(E20*0.1+E40&lt;E18,"Exceed 10% Rule","")</f>
        <v/>
      </c>
    </row>
    <row r="20" spans="2:10">
      <c r="B20" s="309" t="s">
        <v>168</v>
      </c>
      <c r="C20" s="452">
        <f>SUM(C8:C18)</f>
        <v>313383</v>
      </c>
      <c r="D20" s="452">
        <f>SUM(D8:D18)</f>
        <v>337842</v>
      </c>
      <c r="E20" s="350">
        <f>SUM(E8:E18)</f>
        <v>43663.28</v>
      </c>
    </row>
    <row r="21" spans="2:10">
      <c r="B21" s="309" t="s">
        <v>169</v>
      </c>
      <c r="C21" s="452">
        <f>C6+C20</f>
        <v>313383</v>
      </c>
      <c r="D21" s="452">
        <f>D6+D20</f>
        <v>344527</v>
      </c>
      <c r="E21" s="350">
        <f>E6+E20</f>
        <v>43190.28</v>
      </c>
    </row>
    <row r="22" spans="2:10">
      <c r="B22" s="147" t="s">
        <v>172</v>
      </c>
      <c r="C22" s="307"/>
      <c r="D22" s="307"/>
      <c r="E22" s="107"/>
    </row>
    <row r="23" spans="2:10">
      <c r="B23" s="316" t="s">
        <v>973</v>
      </c>
      <c r="C23" s="450">
        <v>24388</v>
      </c>
      <c r="D23" s="450">
        <v>25000</v>
      </c>
      <c r="E23" s="111">
        <v>36000</v>
      </c>
    </row>
    <row r="24" spans="2:10">
      <c r="B24" s="316" t="s">
        <v>974</v>
      </c>
      <c r="C24" s="450">
        <v>282310</v>
      </c>
      <c r="D24" s="450">
        <v>320000</v>
      </c>
      <c r="E24" s="111">
        <v>310000</v>
      </c>
      <c r="G24" s="800" t="str">
        <f>CONCATENATE("Desired Carryover Into ",E1+1,"")</f>
        <v>Desired Carryover Into 2015</v>
      </c>
      <c r="H24" s="801"/>
      <c r="I24" s="801"/>
      <c r="J24" s="802"/>
    </row>
    <row r="25" spans="2:10">
      <c r="B25" s="316"/>
      <c r="C25" s="450"/>
      <c r="D25" s="450"/>
      <c r="E25" s="111"/>
      <c r="G25" s="648"/>
      <c r="H25" s="649"/>
      <c r="I25" s="650"/>
      <c r="J25" s="651"/>
    </row>
    <row r="26" spans="2:10">
      <c r="B26" s="316"/>
      <c r="C26" s="450"/>
      <c r="D26" s="450"/>
      <c r="E26" s="111"/>
      <c r="G26" s="652" t="s">
        <v>688</v>
      </c>
      <c r="H26" s="650"/>
      <c r="I26" s="650"/>
      <c r="J26" s="653">
        <v>0</v>
      </c>
    </row>
    <row r="27" spans="2:10">
      <c r="B27" s="316"/>
      <c r="C27" s="450"/>
      <c r="D27" s="450"/>
      <c r="E27" s="111"/>
      <c r="G27" s="648" t="s">
        <v>689</v>
      </c>
      <c r="H27" s="649"/>
      <c r="I27" s="649"/>
      <c r="J27" s="654" t="str">
        <f>IF(J26=0,"",ROUND((J26+E40-G39)/inputOth!E6*1000,3)-G44)</f>
        <v/>
      </c>
    </row>
    <row r="28" spans="2:10">
      <c r="B28" s="316"/>
      <c r="C28" s="450"/>
      <c r="D28" s="450"/>
      <c r="E28" s="111"/>
      <c r="G28" s="655" t="str">
        <f>CONCATENATE("",E1," Tot Exp/Non-Appr Must Be:")</f>
        <v>2014 Tot Exp/Non-Appr Must Be:</v>
      </c>
      <c r="H28" s="656"/>
      <c r="I28" s="657"/>
      <c r="J28" s="658">
        <f>IF(J26&gt;0,IF(E37&lt;E21,IF(J26=G39,E37,((J26-G39)*(1-D39))+E21),E37+(J26-G39)),0)</f>
        <v>0</v>
      </c>
    </row>
    <row r="29" spans="2:10">
      <c r="B29" s="316"/>
      <c r="C29" s="450"/>
      <c r="D29" s="450"/>
      <c r="E29" s="111"/>
      <c r="G29" s="659" t="s">
        <v>840</v>
      </c>
      <c r="H29" s="660"/>
      <c r="I29" s="660"/>
      <c r="J29" s="661">
        <f>IF(J26&gt;0,J28-E37,0)</f>
        <v>0</v>
      </c>
    </row>
    <row r="30" spans="2:10">
      <c r="B30" s="307" t="s">
        <v>77</v>
      </c>
      <c r="C30" s="450"/>
      <c r="D30" s="450"/>
      <c r="E30" s="119" t="str">
        <f>Nhood!E15</f>
        <v/>
      </c>
      <c r="G30" s="1"/>
      <c r="H30" s="1"/>
      <c r="I30" s="1"/>
      <c r="J30" s="1"/>
    </row>
    <row r="31" spans="2:10">
      <c r="B31" s="307" t="s">
        <v>75</v>
      </c>
      <c r="C31" s="450"/>
      <c r="D31" s="450"/>
      <c r="E31" s="111"/>
      <c r="G31" s="800" t="str">
        <f>CONCATENATE("Projected Carryover Into ",E1+1,"")</f>
        <v>Projected Carryover Into 2015</v>
      </c>
      <c r="H31" s="807"/>
      <c r="I31" s="807"/>
      <c r="J31" s="808"/>
    </row>
    <row r="32" spans="2:10">
      <c r="B32" s="307" t="s">
        <v>681</v>
      </c>
      <c r="C32" s="451" t="str">
        <f>IF(C33*0.1&lt;C31,"Exceed 10% Rule","")</f>
        <v/>
      </c>
      <c r="D32" s="451" t="str">
        <f>IF(D33*0.1&lt;D31,"Exceed 10% Rule","")</f>
        <v/>
      </c>
      <c r="E32" s="342" t="str">
        <f>IF(E33*0.1&lt;E31,"Exceed 10% Rule","")</f>
        <v/>
      </c>
      <c r="G32" s="648"/>
      <c r="H32" s="650"/>
      <c r="I32" s="650"/>
      <c r="J32" s="676"/>
    </row>
    <row r="33" spans="2:11">
      <c r="B33" s="309" t="s">
        <v>173</v>
      </c>
      <c r="C33" s="452">
        <f>SUM(C23:C31)</f>
        <v>306698</v>
      </c>
      <c r="D33" s="452">
        <f>SUM(D23:D31)</f>
        <v>345000</v>
      </c>
      <c r="E33" s="350">
        <f>SUM(E23:E31)</f>
        <v>346000</v>
      </c>
      <c r="G33" s="677">
        <f>D34</f>
        <v>-473</v>
      </c>
      <c r="H33" s="667" t="str">
        <f>CONCATENATE("",E1-1," Ending Cash Balance (est.)")</f>
        <v>2013 Ending Cash Balance (est.)</v>
      </c>
      <c r="I33" s="678"/>
      <c r="J33" s="676"/>
    </row>
    <row r="34" spans="2:11">
      <c r="B34" s="147" t="s">
        <v>279</v>
      </c>
      <c r="C34" s="455">
        <f>C21-C33</f>
        <v>6685</v>
      </c>
      <c r="D34" s="455">
        <f>D21-D33</f>
        <v>-473</v>
      </c>
      <c r="E34" s="335" t="s">
        <v>148</v>
      </c>
      <c r="G34" s="677">
        <f>E20</f>
        <v>43663.28</v>
      </c>
      <c r="H34" s="650" t="str">
        <f>CONCATENATE("",E1," Non-AV Receipts (est.)")</f>
        <v>2014 Non-AV Receipts (est.)</v>
      </c>
      <c r="I34" s="678"/>
      <c r="J34" s="676"/>
    </row>
    <row r="35" spans="2:11">
      <c r="B35" s="285" t="str">
        <f>CONCATENATE("",E$1-2,"/",E$1-1," Budget Authority Amount:")</f>
        <v>2012/2013 Budget Authority Amount:</v>
      </c>
      <c r="C35" s="277">
        <f>inputOth!B39</f>
        <v>346000</v>
      </c>
      <c r="D35" s="277">
        <f>inputPrYr!D25</f>
        <v>346000</v>
      </c>
      <c r="E35" s="335" t="s">
        <v>148</v>
      </c>
      <c r="F35" s="318"/>
      <c r="G35" s="679">
        <f>IF(E39&gt;0,E38,E40)</f>
        <v>320109.71999999997</v>
      </c>
      <c r="H35" s="650" t="str">
        <f>CONCATENATE("",E1," Ad Valorem Tax (est.)")</f>
        <v>2014 Ad Valorem Tax (est.)</v>
      </c>
      <c r="I35" s="678"/>
      <c r="J35" s="676"/>
      <c r="K35" s="664" t="str">
        <f>IF(G35=E40,"","Note: Does not include Delinquent Taxes")</f>
        <v>Note: Does not include Delinquent Taxes</v>
      </c>
    </row>
    <row r="36" spans="2:11">
      <c r="B36" s="285"/>
      <c r="C36" s="790" t="s">
        <v>685</v>
      </c>
      <c r="D36" s="791"/>
      <c r="E36" s="111">
        <v>17300</v>
      </c>
      <c r="F36" s="500" t="str">
        <f>IF(E33/0.95-E33&lt;E36,"Exceeds 5%","")</f>
        <v/>
      </c>
      <c r="G36" s="677">
        <f>SUM(G33:G35)</f>
        <v>363300</v>
      </c>
      <c r="H36" s="650" t="str">
        <f>CONCATENATE("Total ",E1," Resources Available")</f>
        <v>Total 2014 Resources Available</v>
      </c>
      <c r="I36" s="678"/>
      <c r="J36" s="676"/>
    </row>
    <row r="37" spans="2:11">
      <c r="B37" s="504" t="str">
        <f>CONCATENATE(C91,"     ",D91)</f>
        <v xml:space="preserve">     </v>
      </c>
      <c r="C37" s="792" t="s">
        <v>686</v>
      </c>
      <c r="D37" s="793"/>
      <c r="E37" s="263">
        <f>E33+E36</f>
        <v>363300</v>
      </c>
      <c r="G37" s="680"/>
      <c r="H37" s="650"/>
      <c r="I37" s="650"/>
      <c r="J37" s="676"/>
    </row>
    <row r="38" spans="2:11">
      <c r="B38" s="504" t="str">
        <f>CONCATENATE(C92,"     ",D92)</f>
        <v xml:space="preserve">     See Tab D</v>
      </c>
      <c r="C38" s="319"/>
      <c r="D38" s="238" t="s">
        <v>174</v>
      </c>
      <c r="E38" s="119">
        <f>IF(E37-E21&gt;0,E37-E21,0)</f>
        <v>320109.71999999997</v>
      </c>
      <c r="G38" s="679">
        <f>ROUND(C33*0.05+C33,0)</f>
        <v>322033</v>
      </c>
      <c r="H38" s="650" t="str">
        <f>CONCATENATE("Less ",E1-2," Expenditures + 5%")</f>
        <v>Less 2012 Expenditures + 5%</v>
      </c>
      <c r="I38" s="678"/>
      <c r="J38" s="681"/>
    </row>
    <row r="39" spans="2:11">
      <c r="B39" s="238"/>
      <c r="C39" s="502" t="s">
        <v>687</v>
      </c>
      <c r="D39" s="647">
        <f>inputOth!$E$23</f>
        <v>0.03</v>
      </c>
      <c r="E39" s="263">
        <f>ROUND(IF(D39&gt;0,($E$38*D39),0),0)</f>
        <v>9603</v>
      </c>
      <c r="G39" s="682">
        <f>G36-G38</f>
        <v>41267</v>
      </c>
      <c r="H39" s="683" t="str">
        <f>CONCATENATE("Projected ",E1+1," carryover (est.)")</f>
        <v>Projected 2015 carryover (est.)</v>
      </c>
      <c r="I39" s="684"/>
      <c r="J39" s="685"/>
    </row>
    <row r="40" spans="2:11">
      <c r="B40" s="84"/>
      <c r="C40" s="798" t="str">
        <f>CONCATENATE("Amount of  ",$E$1-1," Ad Valorem Tax")</f>
        <v>Amount of  2013 Ad Valorem Tax</v>
      </c>
      <c r="D40" s="799"/>
      <c r="E40" s="346">
        <f>E38+E39</f>
        <v>329712.71999999997</v>
      </c>
      <c r="G40" s="1"/>
      <c r="H40" s="1"/>
      <c r="I40" s="1"/>
      <c r="J40" s="1"/>
    </row>
    <row r="41" spans="2:11">
      <c r="B41" s="84"/>
      <c r="C41" s="325"/>
      <c r="D41" s="325"/>
      <c r="E41" s="325"/>
      <c r="G41" s="803" t="s">
        <v>841</v>
      </c>
      <c r="H41" s="804"/>
      <c r="I41" s="804"/>
      <c r="J41" s="805"/>
    </row>
    <row r="42" spans="2:11">
      <c r="B42" s="83" t="s">
        <v>159</v>
      </c>
      <c r="C42" s="701" t="str">
        <f t="shared" ref="C42:E43" si="0">C4</f>
        <v xml:space="preserve">Prior Year </v>
      </c>
      <c r="D42" s="702" t="str">
        <f t="shared" si="0"/>
        <v xml:space="preserve">Current Year </v>
      </c>
      <c r="E42" s="214" t="str">
        <f t="shared" si="0"/>
        <v xml:space="preserve">Proposed Budget </v>
      </c>
      <c r="G42" s="666"/>
      <c r="H42" s="667"/>
      <c r="I42" s="668"/>
      <c r="J42" s="669"/>
    </row>
    <row r="43" spans="2:11">
      <c r="B43" s="481" t="str">
        <f>inputPrYr!B26</f>
        <v xml:space="preserve">Tort Liability (53) </v>
      </c>
      <c r="C43" s="453" t="str">
        <f t="shared" si="0"/>
        <v>Actual for 2012</v>
      </c>
      <c r="D43" s="453" t="str">
        <f t="shared" si="0"/>
        <v>Estimate for 2013</v>
      </c>
      <c r="E43" s="300" t="str">
        <f t="shared" si="0"/>
        <v>Year for 2014</v>
      </c>
      <c r="G43" s="670">
        <f>summ!H25</f>
        <v>1.2256</v>
      </c>
      <c r="H43" s="667" t="str">
        <f>CONCATENATE("",E1," Fund Mill Rate")</f>
        <v>2014 Fund Mill Rate</v>
      </c>
      <c r="I43" s="668"/>
      <c r="J43" s="669"/>
    </row>
    <row r="44" spans="2:11">
      <c r="B44" s="147" t="s">
        <v>278</v>
      </c>
      <c r="C44" s="450">
        <v>57947</v>
      </c>
      <c r="D44" s="454">
        <f>C74</f>
        <v>71417</v>
      </c>
      <c r="E44" s="263">
        <f>D74</f>
        <v>57659</v>
      </c>
      <c r="G44" s="671">
        <f>summ!E25</f>
        <v>1.4019999999999999</v>
      </c>
      <c r="H44" s="667" t="str">
        <f>CONCATENATE("",E1-1," Fund Mill Rate")</f>
        <v>2013 Fund Mill Rate</v>
      </c>
      <c r="I44" s="668"/>
      <c r="J44" s="669"/>
    </row>
    <row r="45" spans="2:11">
      <c r="B45" s="301" t="s">
        <v>280</v>
      </c>
      <c r="C45" s="303"/>
      <c r="D45" s="303"/>
      <c r="E45" s="126"/>
      <c r="G45" s="672">
        <f>summ!H61</f>
        <v>56.5124</v>
      </c>
      <c r="H45" s="667" t="str">
        <f>CONCATENATE("Total ",E1," Mill Rate")</f>
        <v>Total 2014 Mill Rate</v>
      </c>
      <c r="I45" s="668"/>
      <c r="J45" s="669"/>
    </row>
    <row r="46" spans="2:11">
      <c r="B46" s="147" t="s">
        <v>160</v>
      </c>
      <c r="C46" s="450">
        <v>206418</v>
      </c>
      <c r="D46" s="454">
        <f>IF(inputPrYr!H26&gt;0,inputPrYr!H26,inputPrYr!E26)+15796</f>
        <v>174391</v>
      </c>
      <c r="E46" s="335" t="s">
        <v>148</v>
      </c>
      <c r="G46" s="671">
        <f>summ!E61</f>
        <v>63.972000000000008</v>
      </c>
      <c r="H46" s="673" t="str">
        <f>CONCATENATE("Total ",E1-1," Mill Rate")</f>
        <v>Total 2013 Mill Rate</v>
      </c>
      <c r="I46" s="674"/>
      <c r="J46" s="675"/>
    </row>
    <row r="47" spans="2:11">
      <c r="B47" s="147" t="s">
        <v>161</v>
      </c>
      <c r="C47" s="450">
        <v>3700</v>
      </c>
      <c r="D47" s="450">
        <v>2466</v>
      </c>
      <c r="E47" s="111">
        <v>4000</v>
      </c>
      <c r="G47" s="1"/>
      <c r="H47" s="1"/>
      <c r="I47" s="1"/>
      <c r="J47" s="1"/>
    </row>
    <row r="48" spans="2:11">
      <c r="B48" s="147" t="s">
        <v>162</v>
      </c>
      <c r="C48" s="450">
        <v>18807</v>
      </c>
      <c r="D48" s="450">
        <v>20000</v>
      </c>
      <c r="E48" s="263">
        <f>mvalloc!E17</f>
        <v>23647.33</v>
      </c>
      <c r="G48" s="1">
        <v>329713</v>
      </c>
      <c r="H48" s="1"/>
      <c r="I48" s="1"/>
      <c r="J48" s="1"/>
    </row>
    <row r="49" spans="2:10">
      <c r="B49" s="147" t="s">
        <v>163</v>
      </c>
      <c r="C49" s="450"/>
      <c r="D49" s="450"/>
      <c r="E49" s="263">
        <f>mvalloc!F17</f>
        <v>334.52</v>
      </c>
      <c r="G49" s="742">
        <f>+G48-E40</f>
        <v>0.28000000002793968</v>
      </c>
      <c r="H49" s="1"/>
      <c r="I49" s="1"/>
      <c r="J49" s="1"/>
    </row>
    <row r="50" spans="2:10">
      <c r="B50" s="303" t="s">
        <v>227</v>
      </c>
      <c r="C50" s="450"/>
      <c r="D50" s="450"/>
      <c r="E50" s="263">
        <f>mvalloc!G17</f>
        <v>1021.31</v>
      </c>
      <c r="G50" s="1"/>
      <c r="H50" s="1"/>
      <c r="I50" s="1"/>
      <c r="J50" s="1"/>
    </row>
    <row r="51" spans="2:10">
      <c r="B51" s="316" t="s">
        <v>988</v>
      </c>
      <c r="C51" s="450">
        <v>1416</v>
      </c>
      <c r="D51" s="450">
        <f>1681+1416</f>
        <v>3097</v>
      </c>
      <c r="E51" s="111">
        <v>1000</v>
      </c>
      <c r="G51" s="1"/>
      <c r="H51" s="1"/>
      <c r="I51" s="1"/>
      <c r="J51" s="1"/>
    </row>
    <row r="52" spans="2:10">
      <c r="B52" s="316" t="s">
        <v>978</v>
      </c>
      <c r="C52" s="450">
        <v>43000</v>
      </c>
      <c r="D52" s="450">
        <v>43000</v>
      </c>
      <c r="E52" s="111">
        <v>45000</v>
      </c>
      <c r="G52" s="1"/>
      <c r="H52" s="1"/>
      <c r="I52" s="1"/>
      <c r="J52" s="1"/>
    </row>
    <row r="53" spans="2:10">
      <c r="B53" s="316"/>
      <c r="C53" s="450"/>
      <c r="D53" s="450"/>
      <c r="E53" s="111"/>
      <c r="G53" s="1"/>
      <c r="H53" s="1"/>
      <c r="I53" s="1"/>
      <c r="J53" s="1"/>
    </row>
    <row r="54" spans="2:10">
      <c r="B54" s="316"/>
      <c r="C54" s="450"/>
      <c r="D54" s="450"/>
      <c r="E54" s="111"/>
      <c r="G54" s="1"/>
      <c r="H54" s="1"/>
      <c r="I54" s="1"/>
      <c r="J54" s="1"/>
    </row>
    <row r="55" spans="2:10">
      <c r="B55" s="316"/>
      <c r="C55" s="450"/>
      <c r="D55" s="450"/>
      <c r="E55" s="111"/>
      <c r="G55" s="1"/>
      <c r="H55" s="1"/>
      <c r="I55" s="1"/>
      <c r="J55" s="1"/>
    </row>
    <row r="56" spans="2:10">
      <c r="B56" s="316"/>
      <c r="C56" s="450"/>
      <c r="D56" s="450"/>
      <c r="E56" s="111"/>
      <c r="G56" s="1"/>
      <c r="H56" s="1"/>
      <c r="I56" s="1"/>
      <c r="J56" s="1"/>
    </row>
    <row r="57" spans="2:10">
      <c r="B57" s="306" t="s">
        <v>167</v>
      </c>
      <c r="C57" s="450"/>
      <c r="D57" s="450"/>
      <c r="E57" s="111"/>
      <c r="G57" s="1"/>
      <c r="H57" s="1"/>
      <c r="I57" s="1"/>
      <c r="J57" s="1"/>
    </row>
    <row r="58" spans="2:10">
      <c r="B58" s="307" t="s">
        <v>75</v>
      </c>
      <c r="C58" s="450">
        <v>0</v>
      </c>
      <c r="D58" s="450"/>
      <c r="E58" s="111"/>
      <c r="G58" s="1"/>
      <c r="H58" s="1"/>
      <c r="I58" s="1"/>
      <c r="J58" s="1"/>
    </row>
    <row r="59" spans="2:10">
      <c r="B59" s="307" t="s">
        <v>682</v>
      </c>
      <c r="C59" s="451" t="str">
        <f>IF(C60*0.1&lt;C58,"Exceed 10% Rule","")</f>
        <v/>
      </c>
      <c r="D59" s="451" t="str">
        <f>IF(D60*0.1&lt;D58,"Exceed 10% Rule","")</f>
        <v/>
      </c>
      <c r="E59" s="342" t="str">
        <f>IF(E60*0.1+E80&lt;E58,"Exceed 10% Rule","")</f>
        <v/>
      </c>
      <c r="G59" s="1"/>
      <c r="H59" s="1"/>
      <c r="I59" s="1"/>
      <c r="J59" s="1"/>
    </row>
    <row r="60" spans="2:10">
      <c r="B60" s="309" t="s">
        <v>168</v>
      </c>
      <c r="C60" s="452">
        <f>SUM(C46:C58)</f>
        <v>273341</v>
      </c>
      <c r="D60" s="452">
        <f>SUM(D46:D58)</f>
        <v>242954</v>
      </c>
      <c r="E60" s="350">
        <f>SUM(E46:E58)</f>
        <v>75003.16</v>
      </c>
      <c r="G60" s="1"/>
      <c r="H60" s="1"/>
      <c r="I60" s="1"/>
      <c r="J60" s="1"/>
    </row>
    <row r="61" spans="2:10">
      <c r="B61" s="309" t="s">
        <v>169</v>
      </c>
      <c r="C61" s="452">
        <f>C44+C60</f>
        <v>331288</v>
      </c>
      <c r="D61" s="452">
        <f>D44+D60</f>
        <v>314371</v>
      </c>
      <c r="E61" s="350">
        <f>E44+E60</f>
        <v>132662.16</v>
      </c>
      <c r="G61" s="1"/>
      <c r="H61" s="1"/>
      <c r="I61" s="1"/>
      <c r="J61" s="1"/>
    </row>
    <row r="62" spans="2:10">
      <c r="B62" s="147" t="s">
        <v>172</v>
      </c>
      <c r="C62" s="307"/>
      <c r="D62" s="307"/>
      <c r="E62" s="107"/>
      <c r="G62" s="1"/>
      <c r="H62" s="1"/>
      <c r="I62" s="1"/>
      <c r="J62" s="1"/>
    </row>
    <row r="63" spans="2:10">
      <c r="B63" s="316" t="s">
        <v>989</v>
      </c>
      <c r="C63" s="450">
        <v>216871</v>
      </c>
      <c r="D63" s="450">
        <v>213712</v>
      </c>
      <c r="E63" s="111">
        <v>235000</v>
      </c>
      <c r="G63" s="1"/>
      <c r="H63" s="1"/>
      <c r="I63" s="1"/>
      <c r="J63" s="1"/>
    </row>
    <row r="64" spans="2:10">
      <c r="B64" s="316" t="s">
        <v>990</v>
      </c>
      <c r="C64" s="450">
        <v>43000</v>
      </c>
      <c r="D64" s="450">
        <v>43000</v>
      </c>
      <c r="E64" s="111">
        <v>45000</v>
      </c>
      <c r="G64" s="800" t="str">
        <f>CONCATENATE("Desired Carryover Into ",E1+1,"")</f>
        <v>Desired Carryover Into 2015</v>
      </c>
      <c r="H64" s="801"/>
      <c r="I64" s="801"/>
      <c r="J64" s="802"/>
    </row>
    <row r="65" spans="2:11">
      <c r="B65" s="316"/>
      <c r="C65" s="450"/>
      <c r="D65" s="450"/>
      <c r="E65" s="111"/>
      <c r="G65" s="648"/>
      <c r="H65" s="649"/>
      <c r="I65" s="650"/>
      <c r="J65" s="651"/>
    </row>
    <row r="66" spans="2:11">
      <c r="B66" s="316"/>
      <c r="C66" s="450"/>
      <c r="D66" s="450"/>
      <c r="E66" s="111"/>
      <c r="G66" s="652" t="s">
        <v>688</v>
      </c>
      <c r="H66" s="650"/>
      <c r="I66" s="650"/>
      <c r="J66" s="653">
        <v>0</v>
      </c>
    </row>
    <row r="67" spans="2:11">
      <c r="B67" s="316"/>
      <c r="C67" s="450"/>
      <c r="D67" s="450"/>
      <c r="E67" s="111"/>
      <c r="G67" s="648" t="s">
        <v>689</v>
      </c>
      <c r="H67" s="649"/>
      <c r="I67" s="649"/>
      <c r="J67" s="654" t="str">
        <f>IF(J66=0,"",ROUND((J66+E80-G79)/inputOth!E6*1000,3)-G84)</f>
        <v/>
      </c>
    </row>
    <row r="68" spans="2:11">
      <c r="B68" s="316"/>
      <c r="C68" s="450"/>
      <c r="D68" s="450"/>
      <c r="E68" s="111"/>
      <c r="G68" s="655" t="str">
        <f>CONCATENATE("",E1," Tot Exp/Non-Appr Must Be:")</f>
        <v>2014 Tot Exp/Non-Appr Must Be:</v>
      </c>
      <c r="H68" s="656"/>
      <c r="I68" s="657"/>
      <c r="J68" s="658">
        <f>IF(J66&gt;0,IF(E77&lt;E61,IF(J66=G79,E77,((J66-G79)*(1-D79))+E61),E77+(J66-G79)),0)</f>
        <v>0</v>
      </c>
    </row>
    <row r="69" spans="2:11">
      <c r="B69" s="316"/>
      <c r="C69" s="450"/>
      <c r="D69" s="450"/>
      <c r="E69" s="111"/>
      <c r="G69" s="659" t="s">
        <v>840</v>
      </c>
      <c r="H69" s="660"/>
      <c r="I69" s="660"/>
      <c r="J69" s="661">
        <f>IF(J66&gt;0,J68-E77,0)</f>
        <v>0</v>
      </c>
    </row>
    <row r="70" spans="2:11">
      <c r="B70" s="307" t="s">
        <v>77</v>
      </c>
      <c r="C70" s="450"/>
      <c r="D70" s="450"/>
      <c r="E70" s="119" t="str">
        <f>Nhood!E16</f>
        <v/>
      </c>
      <c r="G70" s="1"/>
      <c r="H70" s="1"/>
      <c r="I70" s="1"/>
      <c r="J70" s="1"/>
    </row>
    <row r="71" spans="2:11">
      <c r="B71" s="307" t="s">
        <v>75</v>
      </c>
      <c r="C71" s="450"/>
      <c r="D71" s="450"/>
      <c r="E71" s="111"/>
      <c r="G71" s="800" t="str">
        <f>CONCATENATE("Projected Carryover Into ",E1+1,"")</f>
        <v>Projected Carryover Into 2015</v>
      </c>
      <c r="H71" s="809"/>
      <c r="I71" s="809"/>
      <c r="J71" s="808"/>
    </row>
    <row r="72" spans="2:11">
      <c r="B72" s="307" t="s">
        <v>681</v>
      </c>
      <c r="C72" s="451" t="str">
        <f>IF(C73*0.1&lt;C71,"Exceed 10% Rule","")</f>
        <v/>
      </c>
      <c r="D72" s="451" t="str">
        <f>IF(D73*0.1&lt;D71,"Exceed 10% Rule","")</f>
        <v/>
      </c>
      <c r="E72" s="342" t="str">
        <f>IF(E73*0.1&lt;E71,"Exceed 10% Rule","")</f>
        <v/>
      </c>
      <c r="G72" s="686"/>
      <c r="H72" s="649"/>
      <c r="I72" s="649"/>
      <c r="J72" s="681"/>
    </row>
    <row r="73" spans="2:11">
      <c r="B73" s="309" t="s">
        <v>173</v>
      </c>
      <c r="C73" s="452">
        <f>SUM(C63:C71)</f>
        <v>259871</v>
      </c>
      <c r="D73" s="452">
        <f>SUM(D63:D71)</f>
        <v>256712</v>
      </c>
      <c r="E73" s="350">
        <f>SUM(E63:E71)</f>
        <v>280000</v>
      </c>
      <c r="G73" s="677">
        <f>D74</f>
        <v>57659</v>
      </c>
      <c r="H73" s="667" t="str">
        <f>CONCATENATE("",E1-1," Ending Cash Balance (est.)")</f>
        <v>2013 Ending Cash Balance (est.)</v>
      </c>
      <c r="I73" s="678"/>
      <c r="J73" s="681"/>
    </row>
    <row r="74" spans="2:11">
      <c r="B74" s="147" t="s">
        <v>279</v>
      </c>
      <c r="C74" s="455">
        <f>C61-C73</f>
        <v>71417</v>
      </c>
      <c r="D74" s="455">
        <f>D61-D73</f>
        <v>57659</v>
      </c>
      <c r="E74" s="335" t="s">
        <v>148</v>
      </c>
      <c r="G74" s="677">
        <f>E60</f>
        <v>75003.16</v>
      </c>
      <c r="H74" s="650" t="str">
        <f>CONCATENATE("",E1," Non-AV Receipts (est.)")</f>
        <v>2014 Non-AV Receipts (est.)</v>
      </c>
      <c r="I74" s="678"/>
      <c r="J74" s="681"/>
    </row>
    <row r="75" spans="2:11">
      <c r="B75" s="285" t="str">
        <f>CONCATENATE("",E$1-2,"/",E$1-1," Budget Authority Amount:")</f>
        <v>2012/2013 Budget Authority Amount:</v>
      </c>
      <c r="C75" s="277">
        <f>inputOth!B40</f>
        <v>280000</v>
      </c>
      <c r="D75" s="277">
        <f>inputPrYr!D26</f>
        <v>280000</v>
      </c>
      <c r="E75" s="335" t="s">
        <v>148</v>
      </c>
      <c r="F75" s="318"/>
      <c r="G75" s="679">
        <f>IF(E79&gt;0,E78,E80)</f>
        <v>161337.84</v>
      </c>
      <c r="H75" s="650" t="str">
        <f>CONCATENATE("",E1," Ad Valorem Tax (est.)")</f>
        <v>2014 Ad Valorem Tax (est.)</v>
      </c>
      <c r="I75" s="678"/>
      <c r="J75" s="681"/>
      <c r="K75" s="664" t="str">
        <f>IF(G75=E80,"","Note: Does not include Delinquent Taxes")</f>
        <v>Note: Does not include Delinquent Taxes</v>
      </c>
    </row>
    <row r="76" spans="2:11">
      <c r="B76" s="285"/>
      <c r="C76" s="790" t="s">
        <v>685</v>
      </c>
      <c r="D76" s="791"/>
      <c r="E76" s="111">
        <v>14000</v>
      </c>
      <c r="F76" s="500" t="str">
        <f>IF(E73/0.95-E73&lt;E76,"Exceeds 5%","")</f>
        <v/>
      </c>
      <c r="G76" s="687">
        <f>SUM(G73:G75)</f>
        <v>294000</v>
      </c>
      <c r="H76" s="650" t="str">
        <f>CONCATENATE("Total ",E1," Resources Available")</f>
        <v>Total 2014 Resources Available</v>
      </c>
      <c r="I76" s="688"/>
      <c r="J76" s="681"/>
    </row>
    <row r="77" spans="2:11">
      <c r="B77" s="503" t="str">
        <f>CONCATENATE(C93,"     ",D93)</f>
        <v xml:space="preserve">     </v>
      </c>
      <c r="C77" s="792" t="s">
        <v>686</v>
      </c>
      <c r="D77" s="793"/>
      <c r="E77" s="263">
        <f>E73+E76</f>
        <v>294000</v>
      </c>
      <c r="G77" s="689"/>
      <c r="H77" s="690"/>
      <c r="I77" s="649"/>
      <c r="J77" s="681"/>
    </row>
    <row r="78" spans="2:11">
      <c r="B78" s="503" t="str">
        <f>CONCATENATE(C94,"     ",D94)</f>
        <v xml:space="preserve">     </v>
      </c>
      <c r="C78" s="319"/>
      <c r="D78" s="238" t="s">
        <v>174</v>
      </c>
      <c r="E78" s="119">
        <f>IF(E77-E61&gt;0,E77-E61,0)</f>
        <v>161337.84</v>
      </c>
      <c r="G78" s="691">
        <f>ROUND(C73*0.05+C73,0)</f>
        <v>272865</v>
      </c>
      <c r="H78" s="650" t="str">
        <f>CONCATENATE("Less ",E1-2," Expenditures + 5%")</f>
        <v>Less 2012 Expenditures + 5%</v>
      </c>
      <c r="I78" s="688"/>
      <c r="J78" s="681"/>
    </row>
    <row r="79" spans="2:11">
      <c r="B79" s="238"/>
      <c r="C79" s="502" t="s">
        <v>687</v>
      </c>
      <c r="D79" s="647">
        <f>inputOth!$E$23</f>
        <v>0.03</v>
      </c>
      <c r="E79" s="263">
        <f>ROUND(IF(D79&gt;0,($E$78*D79),0),0)</f>
        <v>4840</v>
      </c>
      <c r="G79" s="692">
        <f>G76-G78</f>
        <v>21135</v>
      </c>
      <c r="H79" s="683" t="str">
        <f>CONCATENATE("Projected ",E1+1," carryover (est.)")</f>
        <v>Projected 2015 carryover (est.)</v>
      </c>
      <c r="I79" s="693"/>
      <c r="J79" s="694"/>
    </row>
    <row r="80" spans="2:11">
      <c r="B80" s="84"/>
      <c r="C80" s="798" t="str">
        <f>CONCATENATE("Amount of  ",$E$1-1," Ad Valorem Tax")</f>
        <v>Amount of  2013 Ad Valorem Tax</v>
      </c>
      <c r="D80" s="799"/>
      <c r="E80" s="346">
        <f>E78+E79</f>
        <v>166177.84</v>
      </c>
      <c r="G80" s="1"/>
      <c r="H80" s="1"/>
      <c r="I80" s="1"/>
      <c r="J80" s="1"/>
    </row>
    <row r="81" spans="2:10">
      <c r="B81" s="285" t="s">
        <v>188</v>
      </c>
      <c r="C81" s="347">
        <v>13</v>
      </c>
      <c r="D81" s="84"/>
      <c r="E81" s="84"/>
      <c r="G81" s="803" t="s">
        <v>841</v>
      </c>
      <c r="H81" s="804"/>
      <c r="I81" s="804"/>
      <c r="J81" s="805"/>
    </row>
    <row r="82" spans="2:10">
      <c r="E82" s="71">
        <v>166178</v>
      </c>
      <c r="G82" s="666"/>
      <c r="H82" s="667"/>
      <c r="I82" s="668"/>
      <c r="J82" s="669"/>
    </row>
    <row r="83" spans="2:10">
      <c r="E83" s="382">
        <f>+E80-E82</f>
        <v>-0.16000000000349246</v>
      </c>
      <c r="G83" s="670">
        <f>summ!H26</f>
        <v>0.61770000000000003</v>
      </c>
      <c r="H83" s="667" t="str">
        <f>CONCATENATE("",E1," Fund Mill Rate")</f>
        <v>2014 Fund Mill Rate</v>
      </c>
      <c r="I83" s="668"/>
      <c r="J83" s="669"/>
    </row>
    <row r="84" spans="2:10">
      <c r="G84" s="671">
        <f>summ!E26</f>
        <v>0.67500000000000004</v>
      </c>
      <c r="H84" s="667" t="str">
        <f>CONCATENATE("",E1-1," Fund Mill Rate")</f>
        <v>2013 Fund Mill Rate</v>
      </c>
      <c r="I84" s="668"/>
      <c r="J84" s="669"/>
    </row>
    <row r="85" spans="2:10">
      <c r="G85" s="672">
        <f>summ!H61</f>
        <v>56.5124</v>
      </c>
      <c r="H85" s="667" t="str">
        <f>CONCATENATE("Total ",E1," Mill Rate")</f>
        <v>Total 2014 Mill Rate</v>
      </c>
      <c r="I85" s="668"/>
      <c r="J85" s="669"/>
    </row>
    <row r="86" spans="2:10">
      <c r="G86" s="671">
        <f>summ!E61</f>
        <v>63.972000000000008</v>
      </c>
      <c r="H86" s="673" t="str">
        <f>CONCATENATE("Total ",E1-1," Mill Rate")</f>
        <v>Total 2013 Mill Rate</v>
      </c>
      <c r="I86" s="674"/>
      <c r="J86" s="675"/>
    </row>
    <row r="91" spans="2:10" hidden="1">
      <c r="C91" s="71" t="str">
        <f>IF(C33&gt;C35,"See Tab A","")</f>
        <v/>
      </c>
      <c r="D91" s="71" t="str">
        <f>IF(D33&gt;D35,"See Tab C","")</f>
        <v/>
      </c>
    </row>
    <row r="92" spans="2:10" hidden="1">
      <c r="C92" s="71" t="str">
        <f>IF(C34&lt;0,"See Tab B","")</f>
        <v/>
      </c>
      <c r="D92" s="71" t="str">
        <f>IF(D34&lt;0,"See Tab D","")</f>
        <v>See Tab D</v>
      </c>
    </row>
    <row r="93" spans="2:10" hidden="1">
      <c r="C93" s="71" t="str">
        <f>IF(C73&gt;C75,"See Tab A","")</f>
        <v/>
      </c>
      <c r="D93" s="71" t="str">
        <f>IF(D73&gt;D75,"See Tab C","")</f>
        <v/>
      </c>
    </row>
    <row r="94" spans="2:10" hidden="1">
      <c r="C94" s="71" t="str">
        <f>IF(C74&lt;0,"See Tab B","")</f>
        <v/>
      </c>
      <c r="D94" s="71" t="str">
        <f>IF(D74&lt;0,"See Tab D","")</f>
        <v/>
      </c>
    </row>
  </sheetData>
  <mergeCells count="12">
    <mergeCell ref="G81:J81"/>
    <mergeCell ref="G24:J24"/>
    <mergeCell ref="G31:J31"/>
    <mergeCell ref="G41:J41"/>
    <mergeCell ref="G64:J64"/>
    <mergeCell ref="G71:J71"/>
    <mergeCell ref="C36:D36"/>
    <mergeCell ref="C37:D37"/>
    <mergeCell ref="C76:D76"/>
    <mergeCell ref="C77:D77"/>
    <mergeCell ref="C80:D80"/>
    <mergeCell ref="C40:D40"/>
  </mergeCells>
  <phoneticPr fontId="0" type="noConversion"/>
  <conditionalFormatting sqref="E71">
    <cfRule type="cellIs" dxfId="312" priority="3" stopIfTrue="1" operator="greaterThan">
      <formula>$E$73*0.1</formula>
    </cfRule>
  </conditionalFormatting>
  <conditionalFormatting sqref="E76">
    <cfRule type="cellIs" dxfId="311" priority="4" stopIfTrue="1" operator="greaterThan">
      <formula>$E$73/0.95-$E$73</formula>
    </cfRule>
  </conditionalFormatting>
  <conditionalFormatting sqref="E36">
    <cfRule type="cellIs" dxfId="310" priority="5" stopIfTrue="1" operator="greaterThan">
      <formula>$E$33/0.95-$E$33</formula>
    </cfRule>
  </conditionalFormatting>
  <conditionalFormatting sqref="E31">
    <cfRule type="cellIs" dxfId="309" priority="6" stopIfTrue="1" operator="greaterThan">
      <formula>$E$33*0.1</formula>
    </cfRule>
  </conditionalFormatting>
  <conditionalFormatting sqref="C74 C34">
    <cfRule type="cellIs" dxfId="308" priority="7" stopIfTrue="1" operator="lessThan">
      <formula>0</formula>
    </cfRule>
  </conditionalFormatting>
  <conditionalFormatting sqref="C73">
    <cfRule type="cellIs" dxfId="307" priority="8" stopIfTrue="1" operator="greaterThan">
      <formula>$C$75</formula>
    </cfRule>
  </conditionalFormatting>
  <conditionalFormatting sqref="D73">
    <cfRule type="cellIs" dxfId="306" priority="9" stopIfTrue="1" operator="greaterThan">
      <formula>$D$75</formula>
    </cfRule>
  </conditionalFormatting>
  <conditionalFormatting sqref="C71">
    <cfRule type="cellIs" dxfId="305" priority="10" stopIfTrue="1" operator="greaterThan">
      <formula>$C$73*0.1</formula>
    </cfRule>
  </conditionalFormatting>
  <conditionalFormatting sqref="D71">
    <cfRule type="cellIs" dxfId="304" priority="11" stopIfTrue="1" operator="greaterThan">
      <formula>$D$73*0.1</formula>
    </cfRule>
  </conditionalFormatting>
  <conditionalFormatting sqref="E58">
    <cfRule type="cellIs" dxfId="303" priority="12" stopIfTrue="1" operator="greaterThan">
      <formula>$E$60*0.1+E80</formula>
    </cfRule>
  </conditionalFormatting>
  <conditionalFormatting sqref="C58">
    <cfRule type="cellIs" dxfId="302" priority="13" stopIfTrue="1" operator="greaterThan">
      <formula>$C$60*0.1</formula>
    </cfRule>
  </conditionalFormatting>
  <conditionalFormatting sqref="D58">
    <cfRule type="cellIs" dxfId="301" priority="14" stopIfTrue="1" operator="greaterThan">
      <formula>$D$60*0.1</formula>
    </cfRule>
  </conditionalFormatting>
  <conditionalFormatting sqref="C33">
    <cfRule type="cellIs" dxfId="300" priority="15" stopIfTrue="1" operator="greaterThan">
      <formula>$C$35</formula>
    </cfRule>
  </conditionalFormatting>
  <conditionalFormatting sqref="D33">
    <cfRule type="cellIs" dxfId="299" priority="16" stopIfTrue="1" operator="greaterThan">
      <formula>$D$35</formula>
    </cfRule>
  </conditionalFormatting>
  <conditionalFormatting sqref="C31">
    <cfRule type="cellIs" dxfId="298" priority="17" stopIfTrue="1" operator="greaterThan">
      <formula>$C$33*0.1</formula>
    </cfRule>
  </conditionalFormatting>
  <conditionalFormatting sqref="D31">
    <cfRule type="cellIs" dxfId="297" priority="18" stopIfTrue="1" operator="greaterThan">
      <formula>$D$33*0.1</formula>
    </cfRule>
  </conditionalFormatting>
  <conditionalFormatting sqref="E18">
    <cfRule type="cellIs" dxfId="296" priority="19" stopIfTrue="1" operator="greaterThan">
      <formula>$E$20*0.1+E40</formula>
    </cfRule>
  </conditionalFormatting>
  <conditionalFormatting sqref="C18">
    <cfRule type="cellIs" dxfId="295" priority="20" stopIfTrue="1" operator="greaterThan">
      <formula>$C$20*0.1</formula>
    </cfRule>
  </conditionalFormatting>
  <conditionalFormatting sqref="D18">
    <cfRule type="cellIs" dxfId="294" priority="21" stopIfTrue="1" operator="greaterThan">
      <formula>$D$20*0.1</formula>
    </cfRule>
  </conditionalFormatting>
  <conditionalFormatting sqref="D34 D74">
    <cfRule type="cellIs" dxfId="293" priority="2" stopIfTrue="1" operator="lessThan">
      <formula>0</formula>
    </cfRule>
  </conditionalFormatting>
  <pageMargins left="1.1200000000000001" right="0.5" top="0.74" bottom="0.34" header="0.5" footer="0"/>
  <pageSetup scale="53" orientation="portrait" blackAndWhite="1" horizontalDpi="120" verticalDpi="144" r:id="rId1"/>
  <headerFooter alignWithMargins="0">
    <oddHeader xml:space="preserve">&amp;RState of Kansas
County
</oddHeader>
  </headerFooter>
</worksheet>
</file>

<file path=xl/worksheets/sheet22.xml><?xml version="1.0" encoding="utf-8"?>
<worksheet xmlns="http://schemas.openxmlformats.org/spreadsheetml/2006/main" xmlns:r="http://schemas.openxmlformats.org/officeDocument/2006/relationships">
  <sheetPr codeName="Sheet17">
    <pageSetUpPr fitToPage="1"/>
  </sheetPr>
  <dimension ref="B1:K94"/>
  <sheetViews>
    <sheetView topLeftCell="A7" zoomScaleNormal="100" workbookViewId="0">
      <selection activeCell="D64" sqref="D64"/>
    </sheetView>
  </sheetViews>
  <sheetFormatPr defaultRowHeight="15.75"/>
  <cols>
    <col min="1" max="1" width="2.44140625" style="71" customWidth="1"/>
    <col min="2" max="2" width="31.109375" style="71" customWidth="1"/>
    <col min="3" max="4" width="15.77734375" style="71" customWidth="1"/>
    <col min="5" max="5" width="16.10937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331"/>
      <c r="D3" s="331"/>
      <c r="E3" s="332"/>
    </row>
    <row r="4" spans="2:5">
      <c r="B4" s="83" t="s">
        <v>159</v>
      </c>
      <c r="C4" s="701" t="s">
        <v>842</v>
      </c>
      <c r="D4" s="702" t="s">
        <v>843</v>
      </c>
      <c r="E4" s="214" t="s">
        <v>844</v>
      </c>
    </row>
    <row r="5" spans="2:5">
      <c r="B5" s="482" t="str">
        <f>inputPrYr!B27</f>
        <v>Health Department (66)</v>
      </c>
      <c r="C5" s="453" t="str">
        <f>CONCATENATE("Actual for ",E1-2,"")</f>
        <v>Actual for 2012</v>
      </c>
      <c r="D5" s="453" t="str">
        <f>CONCATENATE("Estimate for ",E1-1,"")</f>
        <v>Estimate for 2013</v>
      </c>
      <c r="E5" s="300" t="str">
        <f>CONCATENATE("Year for ",E1,"")</f>
        <v>Year for 2014</v>
      </c>
    </row>
    <row r="6" spans="2:5">
      <c r="B6" s="147" t="s">
        <v>278</v>
      </c>
      <c r="C6" s="450">
        <f>34492-10185-10507</f>
        <v>13800</v>
      </c>
      <c r="D6" s="454">
        <f>C34</f>
        <v>-5453</v>
      </c>
      <c r="E6" s="263">
        <f>D34</f>
        <v>31110</v>
      </c>
    </row>
    <row r="7" spans="2:5">
      <c r="B7" s="288" t="s">
        <v>280</v>
      </c>
      <c r="C7" s="303"/>
      <c r="D7" s="303"/>
      <c r="E7" s="126"/>
    </row>
    <row r="8" spans="2:5">
      <c r="B8" s="147" t="s">
        <v>160</v>
      </c>
      <c r="C8" s="450">
        <f>468332+31319</f>
        <v>499651</v>
      </c>
      <c r="D8" s="454">
        <f>IF(inputPrYr!H27&gt;0,inputPrYr!H27,inputPrYr!E27)+5578</f>
        <v>533625</v>
      </c>
      <c r="E8" s="335" t="s">
        <v>148</v>
      </c>
    </row>
    <row r="9" spans="2:5">
      <c r="B9" s="147" t="s">
        <v>161</v>
      </c>
      <c r="C9" s="450">
        <v>11139</v>
      </c>
      <c r="D9" s="450">
        <v>7554</v>
      </c>
      <c r="E9" s="111">
        <v>5000</v>
      </c>
    </row>
    <row r="10" spans="2:5">
      <c r="B10" s="147" t="s">
        <v>162</v>
      </c>
      <c r="C10" s="450">
        <v>78790</v>
      </c>
      <c r="D10" s="450">
        <v>72898</v>
      </c>
      <c r="E10" s="263">
        <f>mvalloc!E18</f>
        <v>60056.26</v>
      </c>
    </row>
    <row r="11" spans="2:5">
      <c r="B11" s="147" t="s">
        <v>163</v>
      </c>
      <c r="C11" s="450"/>
      <c r="D11" s="450"/>
      <c r="E11" s="263">
        <f>mvalloc!F18</f>
        <v>849.54</v>
      </c>
    </row>
    <row r="12" spans="2:5">
      <c r="B12" s="303" t="s">
        <v>227</v>
      </c>
      <c r="C12" s="450"/>
      <c r="D12" s="450"/>
      <c r="E12" s="263">
        <f>mvalloc!G18</f>
        <v>2593.8000000000002</v>
      </c>
    </row>
    <row r="13" spans="2:5">
      <c r="B13" s="316" t="s">
        <v>1068</v>
      </c>
      <c r="C13" s="450"/>
      <c r="D13" s="450">
        <v>31319</v>
      </c>
      <c r="E13" s="111">
        <v>28676</v>
      </c>
    </row>
    <row r="14" spans="2:5">
      <c r="B14" s="316"/>
      <c r="C14" s="450"/>
      <c r="D14" s="450"/>
      <c r="E14" s="111"/>
    </row>
    <row r="15" spans="2:5">
      <c r="B15" s="316"/>
      <c r="C15" s="450"/>
      <c r="D15" s="450"/>
      <c r="E15" s="111"/>
    </row>
    <row r="16" spans="2:5">
      <c r="B16" s="316"/>
      <c r="C16" s="450"/>
      <c r="D16" s="450"/>
      <c r="E16" s="111"/>
    </row>
    <row r="17" spans="2:10">
      <c r="B17" s="306" t="s">
        <v>167</v>
      </c>
      <c r="C17" s="450"/>
      <c r="D17" s="450"/>
      <c r="E17" s="111"/>
    </row>
    <row r="18" spans="2:10">
      <c r="B18" s="307" t="s">
        <v>75</v>
      </c>
      <c r="C18" s="450"/>
      <c r="D18" s="450"/>
      <c r="E18" s="111"/>
    </row>
    <row r="19" spans="2:10">
      <c r="B19" s="307" t="s">
        <v>682</v>
      </c>
      <c r="C19" s="451" t="str">
        <f>IF(C20*0.1&lt;C18,"Exceed 10% Rule","")</f>
        <v/>
      </c>
      <c r="D19" s="451" t="str">
        <f>IF(D20*0.1&lt;D18,"Exceed 10% Rule","")</f>
        <v/>
      </c>
      <c r="E19" s="342" t="str">
        <f>IF(E20*0.1+E40&lt;E18,"Exceed 10% Rule","")</f>
        <v/>
      </c>
    </row>
    <row r="20" spans="2:10">
      <c r="B20" s="309" t="s">
        <v>168</v>
      </c>
      <c r="C20" s="452">
        <f>SUM(C8:C18)</f>
        <v>589580</v>
      </c>
      <c r="D20" s="452">
        <f>SUM(D8:D18)</f>
        <v>645396</v>
      </c>
      <c r="E20" s="350">
        <f>SUM(E8:E18)</f>
        <v>97175.6</v>
      </c>
    </row>
    <row r="21" spans="2:10">
      <c r="B21" s="309" t="s">
        <v>169</v>
      </c>
      <c r="C21" s="452">
        <f>C6+C20</f>
        <v>603380</v>
      </c>
      <c r="D21" s="452">
        <f>D6+D20</f>
        <v>639943</v>
      </c>
      <c r="E21" s="350">
        <f>E6+E20</f>
        <v>128285.6</v>
      </c>
    </row>
    <row r="22" spans="2:10">
      <c r="B22" s="147" t="s">
        <v>172</v>
      </c>
      <c r="C22" s="307"/>
      <c r="D22" s="307"/>
      <c r="E22" s="107"/>
    </row>
    <row r="23" spans="2:10">
      <c r="B23" s="316" t="s">
        <v>966</v>
      </c>
      <c r="C23" s="450">
        <v>608833</v>
      </c>
      <c r="D23" s="450">
        <v>608833</v>
      </c>
      <c r="E23" s="111">
        <v>580000</v>
      </c>
    </row>
    <row r="24" spans="2:10">
      <c r="B24" s="316"/>
      <c r="C24" s="450"/>
      <c r="D24" s="450"/>
      <c r="E24" s="111"/>
      <c r="G24" s="800" t="str">
        <f>CONCATENATE("Desired Carryover Into ",E1+1,"")</f>
        <v>Desired Carryover Into 2015</v>
      </c>
      <c r="H24" s="801"/>
      <c r="I24" s="801"/>
      <c r="J24" s="802"/>
    </row>
    <row r="25" spans="2:10">
      <c r="B25" s="316"/>
      <c r="C25" s="450"/>
      <c r="D25" s="450"/>
      <c r="E25" s="111"/>
      <c r="G25" s="648"/>
      <c r="H25" s="649"/>
      <c r="I25" s="650"/>
      <c r="J25" s="651"/>
    </row>
    <row r="26" spans="2:10">
      <c r="B26" s="316"/>
      <c r="C26" s="450"/>
      <c r="D26" s="450"/>
      <c r="E26" s="111"/>
      <c r="G26" s="652" t="s">
        <v>688</v>
      </c>
      <c r="H26" s="650"/>
      <c r="I26" s="650"/>
      <c r="J26" s="653">
        <v>0</v>
      </c>
    </row>
    <row r="27" spans="2:10">
      <c r="B27" s="316"/>
      <c r="C27" s="450"/>
      <c r="D27" s="450"/>
      <c r="E27" s="111"/>
      <c r="G27" s="648" t="s">
        <v>689</v>
      </c>
      <c r="H27" s="649"/>
      <c r="I27" s="649"/>
      <c r="J27" s="654" t="str">
        <f>IF(J26=0,"",ROUND((J26+E40-G39)/inputOth!E6*1000,3)-G44)</f>
        <v/>
      </c>
    </row>
    <row r="28" spans="2:10">
      <c r="B28" s="316"/>
      <c r="C28" s="450"/>
      <c r="D28" s="450"/>
      <c r="E28" s="111"/>
      <c r="G28" s="655" t="str">
        <f>CONCATENATE("",E1," Tot Exp/Non-Appr Must Be:")</f>
        <v>2014 Tot Exp/Non-Appr Must Be:</v>
      </c>
      <c r="H28" s="656"/>
      <c r="I28" s="657"/>
      <c r="J28" s="658">
        <f>IF(J26&gt;0,IF(E37&lt;E21,IF(J26=G39,E37,((J26-G39)*(1-D39))+E21),E37+(J26-G39)),0)</f>
        <v>0</v>
      </c>
    </row>
    <row r="29" spans="2:10">
      <c r="B29" s="316"/>
      <c r="C29" s="450"/>
      <c r="D29" s="450"/>
      <c r="E29" s="111"/>
      <c r="G29" s="659" t="s">
        <v>840</v>
      </c>
      <c r="H29" s="660"/>
      <c r="I29" s="660"/>
      <c r="J29" s="661">
        <f>IF(J26&gt;0,J28-E37,0)</f>
        <v>0</v>
      </c>
    </row>
    <row r="30" spans="2:10">
      <c r="B30" s="307" t="s">
        <v>77</v>
      </c>
      <c r="C30" s="450"/>
      <c r="D30" s="450"/>
      <c r="E30" s="119" t="str">
        <f>Nhood!E17</f>
        <v/>
      </c>
      <c r="G30" s="1"/>
      <c r="H30" s="1"/>
      <c r="I30" s="1"/>
      <c r="J30" s="1"/>
    </row>
    <row r="31" spans="2:10">
      <c r="B31" s="307" t="s">
        <v>75</v>
      </c>
      <c r="C31" s="450"/>
      <c r="D31" s="450"/>
      <c r="E31" s="111"/>
      <c r="G31" s="800" t="str">
        <f>CONCATENATE("Projected Carryover Into ",E1+1,"")</f>
        <v>Projected Carryover Into 2015</v>
      </c>
      <c r="H31" s="807"/>
      <c r="I31" s="807"/>
      <c r="J31" s="808"/>
    </row>
    <row r="32" spans="2:10">
      <c r="B32" s="307" t="s">
        <v>681</v>
      </c>
      <c r="C32" s="451" t="str">
        <f>IF(C33*0.1&lt;C31,"Exceed 10% Rule","")</f>
        <v/>
      </c>
      <c r="D32" s="451" t="str">
        <f>IF(D33*0.1&lt;D31,"Exceed 10% Rule","")</f>
        <v/>
      </c>
      <c r="E32" s="342" t="str">
        <f>IF(E33*0.1&lt;E31,"Exceed 10% Rule","")</f>
        <v/>
      </c>
      <c r="G32" s="648"/>
      <c r="H32" s="650"/>
      <c r="I32" s="650"/>
      <c r="J32" s="676"/>
    </row>
    <row r="33" spans="2:11">
      <c r="B33" s="309" t="s">
        <v>173</v>
      </c>
      <c r="C33" s="452">
        <f>SUM(C23:C31)</f>
        <v>608833</v>
      </c>
      <c r="D33" s="452">
        <f>SUM(D23:D31)</f>
        <v>608833</v>
      </c>
      <c r="E33" s="350">
        <f>SUM(E23:E31)</f>
        <v>580000</v>
      </c>
      <c r="G33" s="677">
        <f>D34</f>
        <v>31110</v>
      </c>
      <c r="H33" s="667" t="str">
        <f>CONCATENATE("",E1-1," Ending Cash Balance (est.)")</f>
        <v>2013 Ending Cash Balance (est.)</v>
      </c>
      <c r="I33" s="678"/>
      <c r="J33" s="676"/>
    </row>
    <row r="34" spans="2:11">
      <c r="B34" s="147" t="s">
        <v>279</v>
      </c>
      <c r="C34" s="455">
        <f>C21-C33</f>
        <v>-5453</v>
      </c>
      <c r="D34" s="455">
        <f>D21-D33</f>
        <v>31110</v>
      </c>
      <c r="E34" s="335" t="s">
        <v>148</v>
      </c>
      <c r="G34" s="677">
        <f>E20</f>
        <v>97175.6</v>
      </c>
      <c r="H34" s="650" t="str">
        <f>CONCATENATE("",E1," Non-AV Receipts (est.)")</f>
        <v>2014 Non-AV Receipts (est.)</v>
      </c>
      <c r="I34" s="678"/>
      <c r="J34" s="676"/>
    </row>
    <row r="35" spans="2:11">
      <c r="B35" s="285" t="str">
        <f>CONCATENATE("",E$1-2,"/",E$1-1," Budget Authority Amount:")</f>
        <v>2012/2013 Budget Authority Amount:</v>
      </c>
      <c r="C35" s="277">
        <f>inputOth!B41</f>
        <v>608833</v>
      </c>
      <c r="D35" s="277">
        <f>inputPrYr!D27</f>
        <v>608833</v>
      </c>
      <c r="E35" s="335" t="s">
        <v>148</v>
      </c>
      <c r="F35" s="318"/>
      <c r="G35" s="679">
        <f>IF(E39&gt;0,E38,E40)</f>
        <v>480714.4</v>
      </c>
      <c r="H35" s="650" t="str">
        <f>CONCATENATE("",E1," Ad Valorem Tax (est.)")</f>
        <v>2014 Ad Valorem Tax (est.)</v>
      </c>
      <c r="I35" s="678"/>
      <c r="J35" s="676"/>
      <c r="K35" s="664" t="str">
        <f>IF(G35=E40,"","Note: Does not include Delinquent Taxes")</f>
        <v>Note: Does not include Delinquent Taxes</v>
      </c>
    </row>
    <row r="36" spans="2:11">
      <c r="B36" s="285"/>
      <c r="C36" s="790" t="s">
        <v>685</v>
      </c>
      <c r="D36" s="791"/>
      <c r="E36" s="111">
        <v>29000</v>
      </c>
      <c r="F36" s="500" t="str">
        <f>IF(E33/0.95-E33&lt;E36,"Exceeds 5%","")</f>
        <v/>
      </c>
      <c r="G36" s="677">
        <f>SUM(G33:G35)</f>
        <v>609000</v>
      </c>
      <c r="H36" s="650" t="str">
        <f>CONCATENATE("Total ",E1," Resources Available")</f>
        <v>Total 2014 Resources Available</v>
      </c>
      <c r="I36" s="678"/>
      <c r="J36" s="676"/>
    </row>
    <row r="37" spans="2:11">
      <c r="B37" s="504" t="str">
        <f>CONCATENATE(C91,"     ",D91)</f>
        <v xml:space="preserve">     </v>
      </c>
      <c r="C37" s="792" t="s">
        <v>686</v>
      </c>
      <c r="D37" s="793"/>
      <c r="E37" s="263">
        <f>E33+E36</f>
        <v>609000</v>
      </c>
      <c r="G37" s="680"/>
      <c r="H37" s="650"/>
      <c r="I37" s="650"/>
      <c r="J37" s="676"/>
    </row>
    <row r="38" spans="2:11">
      <c r="B38" s="504" t="str">
        <f>CONCATENATE(C92,"     ",D92)</f>
        <v xml:space="preserve">See Tab B     </v>
      </c>
      <c r="C38" s="319"/>
      <c r="D38" s="238" t="s">
        <v>174</v>
      </c>
      <c r="E38" s="119">
        <f>IF(E37-E21&gt;0,E37-E21,0)</f>
        <v>480714.4</v>
      </c>
      <c r="G38" s="679">
        <f>ROUND(C33*0.05+C33,0)</f>
        <v>639275</v>
      </c>
      <c r="H38" s="650" t="str">
        <f>CONCATENATE("Less ",E1-2," Expenditures + 5%")</f>
        <v>Less 2012 Expenditures + 5%</v>
      </c>
      <c r="I38" s="678"/>
      <c r="J38" s="681"/>
    </row>
    <row r="39" spans="2:11">
      <c r="B39" s="238"/>
      <c r="C39" s="502" t="s">
        <v>687</v>
      </c>
      <c r="D39" s="647">
        <f>inputOth!$E$23</f>
        <v>0.03</v>
      </c>
      <c r="E39" s="263">
        <f>ROUND(IF(D39&gt;0,($E$38*D39),0),0)</f>
        <v>14421</v>
      </c>
      <c r="G39" s="682">
        <f>G36-G38</f>
        <v>-30275</v>
      </c>
      <c r="H39" s="683" t="str">
        <f>CONCATENATE("Projected ",E1+1," carryover (est.)")</f>
        <v>Projected 2015 carryover (est.)</v>
      </c>
      <c r="I39" s="684"/>
      <c r="J39" s="685"/>
    </row>
    <row r="40" spans="2:11">
      <c r="B40" s="84"/>
      <c r="C40" s="798" t="str">
        <f>CONCATENATE("Amount of  ",$E$1-1," Ad Valorem Tax")</f>
        <v>Amount of  2013 Ad Valorem Tax</v>
      </c>
      <c r="D40" s="799"/>
      <c r="E40" s="346">
        <f>E38+E39</f>
        <v>495135.4</v>
      </c>
      <c r="G40" s="1"/>
      <c r="H40" s="1"/>
      <c r="I40" s="1"/>
      <c r="J40" s="1"/>
    </row>
    <row r="41" spans="2:11">
      <c r="B41" s="84"/>
      <c r="C41" s="325"/>
      <c r="D41" s="325"/>
      <c r="E41" s="325"/>
      <c r="G41" s="803" t="s">
        <v>841</v>
      </c>
      <c r="H41" s="804"/>
      <c r="I41" s="804"/>
      <c r="J41" s="805"/>
    </row>
    <row r="42" spans="2:11">
      <c r="B42" s="83" t="s">
        <v>159</v>
      </c>
      <c r="C42" s="701" t="str">
        <f t="shared" ref="C42:E43" si="0">C4</f>
        <v xml:space="preserve">Prior Year </v>
      </c>
      <c r="D42" s="702" t="str">
        <f t="shared" si="0"/>
        <v xml:space="preserve">Current Year </v>
      </c>
      <c r="E42" s="214" t="str">
        <f t="shared" si="0"/>
        <v xml:space="preserve">Proposed Budget </v>
      </c>
      <c r="G42" s="666"/>
      <c r="H42" s="667"/>
      <c r="I42" s="668"/>
      <c r="J42" s="669"/>
    </row>
    <row r="43" spans="2:11">
      <c r="B43" s="481" t="str">
        <f>inputPrYr!B28</f>
        <v>Bond &amp; Interest (50)</v>
      </c>
      <c r="C43" s="453" t="str">
        <f t="shared" si="0"/>
        <v>Actual for 2012</v>
      </c>
      <c r="D43" s="453" t="str">
        <f t="shared" si="0"/>
        <v>Estimate for 2013</v>
      </c>
      <c r="E43" s="300" t="str">
        <f t="shared" si="0"/>
        <v>Year for 2014</v>
      </c>
      <c r="G43" s="670">
        <f>summ!H27</f>
        <v>1.8405</v>
      </c>
      <c r="H43" s="667" t="str">
        <f>CONCATENATE("",E1," Fund Mill Rate")</f>
        <v>2014 Fund Mill Rate</v>
      </c>
      <c r="I43" s="668"/>
      <c r="J43" s="669"/>
    </row>
    <row r="44" spans="2:11">
      <c r="B44" s="147" t="s">
        <v>278</v>
      </c>
      <c r="C44" s="450">
        <v>15131</v>
      </c>
      <c r="D44" s="454">
        <f>C74</f>
        <v>15131</v>
      </c>
      <c r="E44" s="263">
        <f>D74</f>
        <v>15131</v>
      </c>
      <c r="G44" s="671">
        <f>summ!E27</f>
        <v>2.25</v>
      </c>
      <c r="H44" s="667" t="str">
        <f>CONCATENATE("",E1-1," Fund Mill Rate")</f>
        <v>2013 Fund Mill Rate</v>
      </c>
      <c r="I44" s="668"/>
      <c r="J44" s="669"/>
    </row>
    <row r="45" spans="2:11">
      <c r="B45" s="301" t="s">
        <v>280</v>
      </c>
      <c r="C45" s="303"/>
      <c r="D45" s="303"/>
      <c r="E45" s="126"/>
      <c r="G45" s="672">
        <f>summ!H61</f>
        <v>56.5124</v>
      </c>
      <c r="H45" s="667" t="str">
        <f>CONCATENATE("Total ",E1," Mill Rate")</f>
        <v>Total 2014 Mill Rate</v>
      </c>
      <c r="I45" s="668"/>
      <c r="J45" s="669"/>
    </row>
    <row r="46" spans="2:11">
      <c r="B46" s="147" t="s">
        <v>160</v>
      </c>
      <c r="C46" s="450"/>
      <c r="D46" s="454">
        <f>IF(inputPrYr!H28&gt;0,inputPrYr!H28,inputPrYr!E28)</f>
        <v>0</v>
      </c>
      <c r="E46" s="335" t="s">
        <v>148</v>
      </c>
      <c r="G46" s="671">
        <f>summ!E61</f>
        <v>63.972000000000008</v>
      </c>
      <c r="H46" s="673" t="str">
        <f>CONCATENATE("Total ",E1-1," Mill Rate")</f>
        <v>Total 2013 Mill Rate</v>
      </c>
      <c r="I46" s="674"/>
      <c r="J46" s="675"/>
    </row>
    <row r="47" spans="2:11">
      <c r="B47" s="147" t="s">
        <v>161</v>
      </c>
      <c r="C47" s="450">
        <v>975</v>
      </c>
      <c r="D47" s="450">
        <v>0</v>
      </c>
      <c r="E47" s="111">
        <v>0</v>
      </c>
      <c r="G47" s="1"/>
      <c r="H47" s="1"/>
      <c r="I47" s="1"/>
      <c r="J47" s="1"/>
    </row>
    <row r="48" spans="2:11">
      <c r="B48" s="147" t="s">
        <v>162</v>
      </c>
      <c r="C48" s="450"/>
      <c r="D48" s="450"/>
      <c r="E48" s="263" t="str">
        <f>mvalloc!E19</f>
        <v xml:space="preserve">  </v>
      </c>
      <c r="G48" s="1"/>
      <c r="H48" s="1"/>
      <c r="I48" s="1"/>
      <c r="J48" s="1"/>
    </row>
    <row r="49" spans="2:10">
      <c r="B49" s="147" t="s">
        <v>163</v>
      </c>
      <c r="C49" s="450"/>
      <c r="D49" s="450"/>
      <c r="E49" s="263" t="str">
        <f>mvalloc!F19</f>
        <v xml:space="preserve">  </v>
      </c>
      <c r="G49" s="742"/>
      <c r="H49" s="1"/>
      <c r="I49" s="1"/>
      <c r="J49" s="1"/>
    </row>
    <row r="50" spans="2:10">
      <c r="B50" s="303" t="s">
        <v>227</v>
      </c>
      <c r="C50" s="450"/>
      <c r="D50" s="450"/>
      <c r="E50" s="263" t="str">
        <f>mvalloc!G19</f>
        <v xml:space="preserve">  </v>
      </c>
      <c r="G50" s="1"/>
      <c r="H50" s="1"/>
      <c r="I50" s="1"/>
      <c r="J50" s="1"/>
    </row>
    <row r="51" spans="2:10">
      <c r="B51" s="316" t="s">
        <v>978</v>
      </c>
      <c r="C51" s="450">
        <v>0</v>
      </c>
      <c r="D51" s="450"/>
      <c r="E51" s="111"/>
      <c r="G51" s="1"/>
      <c r="H51" s="1"/>
      <c r="I51" s="1"/>
      <c r="J51" s="1"/>
    </row>
    <row r="52" spans="2:10">
      <c r="B52" s="316"/>
      <c r="C52" s="450"/>
      <c r="D52" s="450"/>
      <c r="E52" s="111"/>
      <c r="G52" s="1"/>
      <c r="H52" s="1"/>
      <c r="I52" s="1"/>
      <c r="J52" s="1"/>
    </row>
    <row r="53" spans="2:10">
      <c r="B53" s="316"/>
      <c r="C53" s="450"/>
      <c r="D53" s="450"/>
      <c r="E53" s="111"/>
      <c r="G53" s="1"/>
      <c r="H53" s="1"/>
      <c r="I53" s="1"/>
      <c r="J53" s="1"/>
    </row>
    <row r="54" spans="2:10">
      <c r="B54" s="316"/>
      <c r="C54" s="450"/>
      <c r="D54" s="450"/>
      <c r="E54" s="111"/>
      <c r="G54" s="1"/>
      <c r="H54" s="1"/>
      <c r="I54" s="1"/>
      <c r="J54" s="1"/>
    </row>
    <row r="55" spans="2:10">
      <c r="B55" s="316"/>
      <c r="C55" s="450"/>
      <c r="D55" s="450"/>
      <c r="E55" s="111"/>
      <c r="G55" s="1"/>
      <c r="H55" s="1"/>
      <c r="I55" s="1"/>
      <c r="J55" s="1"/>
    </row>
    <row r="56" spans="2:10">
      <c r="B56" s="316"/>
      <c r="C56" s="450"/>
      <c r="D56" s="450"/>
      <c r="E56" s="111"/>
      <c r="G56" s="1"/>
      <c r="H56" s="1"/>
      <c r="I56" s="1"/>
      <c r="J56" s="1"/>
    </row>
    <row r="57" spans="2:10">
      <c r="B57" s="306" t="s">
        <v>167</v>
      </c>
      <c r="C57" s="450"/>
      <c r="D57" s="450"/>
      <c r="E57" s="111"/>
      <c r="G57" s="1"/>
      <c r="H57" s="1"/>
      <c r="I57" s="1"/>
      <c r="J57" s="1"/>
    </row>
    <row r="58" spans="2:10">
      <c r="B58" s="307" t="s">
        <v>75</v>
      </c>
      <c r="C58" s="450"/>
      <c r="D58" s="450"/>
      <c r="E58" s="111"/>
      <c r="G58" s="1"/>
      <c r="H58" s="1"/>
      <c r="I58" s="1"/>
      <c r="J58" s="1"/>
    </row>
    <row r="59" spans="2:10">
      <c r="B59" s="307" t="s">
        <v>682</v>
      </c>
      <c r="C59" s="451" t="str">
        <f>IF(C60*0.1&lt;C58,"Exceed 10% Rule","")</f>
        <v/>
      </c>
      <c r="D59" s="451" t="str">
        <f>IF(D60*0.1&lt;D58,"Exceed 10% Rule","")</f>
        <v/>
      </c>
      <c r="E59" s="342" t="str">
        <f>IF(E60*0.1+E80&lt;E58,"Exceed 10% Rule","")</f>
        <v/>
      </c>
      <c r="G59" s="1"/>
      <c r="H59" s="1"/>
      <c r="I59" s="1"/>
      <c r="J59" s="1"/>
    </row>
    <row r="60" spans="2:10">
      <c r="B60" s="309" t="s">
        <v>168</v>
      </c>
      <c r="C60" s="452">
        <f>SUM(C46:C58)</f>
        <v>975</v>
      </c>
      <c r="D60" s="452">
        <f>SUM(D46:D58)</f>
        <v>0</v>
      </c>
      <c r="E60" s="350">
        <f>SUM(E46:E58)</f>
        <v>0</v>
      </c>
      <c r="G60" s="1"/>
      <c r="H60" s="1"/>
      <c r="I60" s="1"/>
      <c r="J60" s="1"/>
    </row>
    <row r="61" spans="2:10">
      <c r="B61" s="309" t="s">
        <v>169</v>
      </c>
      <c r="C61" s="452">
        <f>C44+C60</f>
        <v>16106</v>
      </c>
      <c r="D61" s="452">
        <f>D44+D60</f>
        <v>15131</v>
      </c>
      <c r="E61" s="350">
        <f>E44+E60</f>
        <v>15131</v>
      </c>
      <c r="G61" s="1"/>
      <c r="H61" s="1"/>
      <c r="I61" s="1"/>
      <c r="J61" s="1"/>
    </row>
    <row r="62" spans="2:10">
      <c r="B62" s="147" t="s">
        <v>172</v>
      </c>
      <c r="C62" s="307"/>
      <c r="D62" s="307"/>
      <c r="E62" s="107"/>
      <c r="G62" s="1"/>
      <c r="H62" s="1"/>
      <c r="I62" s="1"/>
      <c r="J62" s="1"/>
    </row>
    <row r="63" spans="2:10">
      <c r="B63" s="316" t="s">
        <v>991</v>
      </c>
      <c r="C63" s="450">
        <v>975</v>
      </c>
      <c r="D63" s="450">
        <v>0</v>
      </c>
      <c r="E63" s="111">
        <v>0</v>
      </c>
      <c r="G63" s="1"/>
      <c r="H63" s="1"/>
      <c r="I63" s="1"/>
      <c r="J63" s="1"/>
    </row>
    <row r="64" spans="2:10">
      <c r="B64" s="316"/>
      <c r="C64" s="450"/>
      <c r="D64" s="450"/>
      <c r="E64" s="111"/>
      <c r="G64" s="800" t="str">
        <f>CONCATENATE("Desired Carryover Into ",E1+1,"")</f>
        <v>Desired Carryover Into 2015</v>
      </c>
      <c r="H64" s="801"/>
      <c r="I64" s="801"/>
      <c r="J64" s="802"/>
    </row>
    <row r="65" spans="2:11">
      <c r="B65" s="316"/>
      <c r="C65" s="450"/>
      <c r="D65" s="450"/>
      <c r="E65" s="111"/>
      <c r="G65" s="648"/>
      <c r="H65" s="649"/>
      <c r="I65" s="650"/>
      <c r="J65" s="651"/>
    </row>
    <row r="66" spans="2:11">
      <c r="B66" s="316"/>
      <c r="C66" s="450"/>
      <c r="D66" s="450"/>
      <c r="E66" s="111"/>
      <c r="G66" s="652" t="s">
        <v>688</v>
      </c>
      <c r="H66" s="650"/>
      <c r="I66" s="650"/>
      <c r="J66" s="653">
        <v>0</v>
      </c>
    </row>
    <row r="67" spans="2:11">
      <c r="B67" s="316"/>
      <c r="C67" s="450"/>
      <c r="D67" s="450"/>
      <c r="E67" s="111"/>
      <c r="G67" s="648" t="s">
        <v>689</v>
      </c>
      <c r="H67" s="649"/>
      <c r="I67" s="649"/>
      <c r="J67" s="654" t="str">
        <f>IF(J66=0,"",ROUND((J66+E80-G79)/inputOth!E6*1000,3)-G84)</f>
        <v/>
      </c>
    </row>
    <row r="68" spans="2:11">
      <c r="B68" s="316"/>
      <c r="C68" s="450"/>
      <c r="D68" s="450"/>
      <c r="E68" s="111"/>
      <c r="G68" s="655" t="str">
        <f>CONCATENATE("",E1," Tot Exp/Non-Appr Must Be:")</f>
        <v>2014 Tot Exp/Non-Appr Must Be:</v>
      </c>
      <c r="H68" s="656"/>
      <c r="I68" s="657"/>
      <c r="J68" s="658">
        <f>IF(J66&gt;0,IF(E77&lt;E61,IF(J66=G79,E77,((J66-G79)*(1-D79))+E61),E77+(J66-G79)),0)</f>
        <v>0</v>
      </c>
    </row>
    <row r="69" spans="2:11">
      <c r="B69" s="316"/>
      <c r="C69" s="450"/>
      <c r="D69" s="450"/>
      <c r="E69" s="111"/>
      <c r="G69" s="659" t="s">
        <v>840</v>
      </c>
      <c r="H69" s="660"/>
      <c r="I69" s="660"/>
      <c r="J69" s="661">
        <f>IF(J66&gt;0,J68-E77,0)</f>
        <v>0</v>
      </c>
    </row>
    <row r="70" spans="2:11">
      <c r="B70" s="307" t="s">
        <v>77</v>
      </c>
      <c r="C70" s="450"/>
      <c r="D70" s="450"/>
      <c r="E70" s="119" t="str">
        <f>Nhood!E18</f>
        <v/>
      </c>
      <c r="G70" s="1"/>
      <c r="H70" s="1"/>
      <c r="I70" s="1"/>
      <c r="J70" s="1"/>
    </row>
    <row r="71" spans="2:11">
      <c r="B71" s="307" t="s">
        <v>75</v>
      </c>
      <c r="C71" s="450"/>
      <c r="D71" s="450"/>
      <c r="E71" s="111"/>
      <c r="G71" s="800" t="str">
        <f>CONCATENATE("Projected Carryover Into ",E1+1,"")</f>
        <v>Projected Carryover Into 2015</v>
      </c>
      <c r="H71" s="809"/>
      <c r="I71" s="809"/>
      <c r="J71" s="808"/>
    </row>
    <row r="72" spans="2:11">
      <c r="B72" s="307" t="s">
        <v>681</v>
      </c>
      <c r="C72" s="451" t="str">
        <f>IF(C73*0.1&lt;C71,"Exceed 10% Rule","")</f>
        <v/>
      </c>
      <c r="D72" s="451" t="str">
        <f>IF(D73*0.1&lt;D71,"Exceed 10% Rule","")</f>
        <v/>
      </c>
      <c r="E72" s="342" t="str">
        <f>IF(E73*0.1&lt;E71,"Exceed 10% Rule","")</f>
        <v/>
      </c>
      <c r="G72" s="686"/>
      <c r="H72" s="649"/>
      <c r="I72" s="649"/>
      <c r="J72" s="681"/>
    </row>
    <row r="73" spans="2:11">
      <c r="B73" s="309" t="s">
        <v>173</v>
      </c>
      <c r="C73" s="452">
        <f>SUM(C63:C71)</f>
        <v>975</v>
      </c>
      <c r="D73" s="452">
        <f>SUM(D63:D71)</f>
        <v>0</v>
      </c>
      <c r="E73" s="350">
        <f>SUM(E63:E71)</f>
        <v>0</v>
      </c>
      <c r="G73" s="677">
        <f>D74</f>
        <v>15131</v>
      </c>
      <c r="H73" s="667" t="str">
        <f>CONCATENATE("",E1-1," Ending Cash Balance (est.)")</f>
        <v>2013 Ending Cash Balance (est.)</v>
      </c>
      <c r="I73" s="678"/>
      <c r="J73" s="681"/>
    </row>
    <row r="74" spans="2:11">
      <c r="B74" s="147" t="s">
        <v>279</v>
      </c>
      <c r="C74" s="455">
        <f>C61-C73</f>
        <v>15131</v>
      </c>
      <c r="D74" s="455">
        <f>D61-D73</f>
        <v>15131</v>
      </c>
      <c r="E74" s="335" t="s">
        <v>148</v>
      </c>
      <c r="G74" s="677">
        <f>E60</f>
        <v>0</v>
      </c>
      <c r="H74" s="650" t="str">
        <f>CONCATENATE("",E1," Non-AV Receipts (est.)")</f>
        <v>2014 Non-AV Receipts (est.)</v>
      </c>
      <c r="I74" s="678"/>
      <c r="J74" s="681"/>
    </row>
    <row r="75" spans="2:11">
      <c r="B75" s="285" t="str">
        <f>CONCATENATE("",E$1-2,"/",E$1-1," Budget Authority Amount:")</f>
        <v>2012/2013 Budget Authority Amount:</v>
      </c>
      <c r="C75" s="277">
        <f>inputOth!B42</f>
        <v>0</v>
      </c>
      <c r="D75" s="277">
        <f>inputPrYr!D28</f>
        <v>0</v>
      </c>
      <c r="E75" s="335" t="s">
        <v>148</v>
      </c>
      <c r="F75" s="318"/>
      <c r="G75" s="679">
        <f>IF(E79&gt;0,E78,E80)</f>
        <v>0</v>
      </c>
      <c r="H75" s="650" t="str">
        <f>CONCATENATE("",E1," Ad Valorem Tax (est.)")</f>
        <v>2014 Ad Valorem Tax (est.)</v>
      </c>
      <c r="I75" s="678"/>
      <c r="J75" s="681"/>
      <c r="K75" s="664" t="str">
        <f>IF(G75=E80,"","Note: Does not include Delinquent Taxes")</f>
        <v/>
      </c>
    </row>
    <row r="76" spans="2:11">
      <c r="B76" s="285"/>
      <c r="C76" s="790" t="s">
        <v>685</v>
      </c>
      <c r="D76" s="791"/>
      <c r="E76" s="111"/>
      <c r="F76" s="500" t="str">
        <f>IF(E73/0.95-E73&lt;E76,"Exceeds 5%","")</f>
        <v/>
      </c>
      <c r="G76" s="687">
        <f>SUM(G73:G75)</f>
        <v>15131</v>
      </c>
      <c r="H76" s="650" t="str">
        <f>CONCATENATE("Total ",E1," Resources Available")</f>
        <v>Total 2014 Resources Available</v>
      </c>
      <c r="I76" s="688"/>
      <c r="J76" s="681"/>
    </row>
    <row r="77" spans="2:11">
      <c r="B77" s="503" t="str">
        <f>CONCATENATE(C93,"     ",D93)</f>
        <v xml:space="preserve">See Tab A     </v>
      </c>
      <c r="C77" s="792" t="s">
        <v>686</v>
      </c>
      <c r="D77" s="793"/>
      <c r="E77" s="263">
        <f>E73+E76</f>
        <v>0</v>
      </c>
      <c r="G77" s="689"/>
      <c r="H77" s="690"/>
      <c r="I77" s="649"/>
      <c r="J77" s="681"/>
    </row>
    <row r="78" spans="2:11">
      <c r="B78" s="503" t="str">
        <f>CONCATENATE(C94,"     ",D94)</f>
        <v xml:space="preserve">     </v>
      </c>
      <c r="C78" s="319"/>
      <c r="D78" s="238" t="s">
        <v>174</v>
      </c>
      <c r="E78" s="119">
        <f>IF(E77-E61&gt;0,E77-E61,0)</f>
        <v>0</v>
      </c>
      <c r="G78" s="691">
        <f>ROUND(C73*0.05+C73,0)</f>
        <v>1024</v>
      </c>
      <c r="H78" s="650" t="str">
        <f>CONCATENATE("Less ",E1-2," Expenditures + 5%")</f>
        <v>Less 2012 Expenditures + 5%</v>
      </c>
      <c r="I78" s="688"/>
      <c r="J78" s="681"/>
    </row>
    <row r="79" spans="2:11">
      <c r="B79" s="238"/>
      <c r="C79" s="502" t="s">
        <v>687</v>
      </c>
      <c r="D79" s="647">
        <f>inputOth!$E$23</f>
        <v>0.03</v>
      </c>
      <c r="E79" s="263">
        <f>ROUND(IF(D79&gt;0,($E$78*D79),0),0)</f>
        <v>0</v>
      </c>
      <c r="G79" s="692">
        <f>G76-G78</f>
        <v>14107</v>
      </c>
      <c r="H79" s="683" t="str">
        <f>CONCATENATE("Projected ",E1+1," carryover (est.)")</f>
        <v>Projected 2015 carryover (est.)</v>
      </c>
      <c r="I79" s="693"/>
      <c r="J79" s="694"/>
    </row>
    <row r="80" spans="2:11">
      <c r="B80" s="299"/>
      <c r="C80" s="798" t="str">
        <f>CONCATENATE("Amount of  ",$E$1-1," Ad Valorem Tax")</f>
        <v>Amount of  2013 Ad Valorem Tax</v>
      </c>
      <c r="D80" s="799"/>
      <c r="E80" s="346">
        <f>E78+E79</f>
        <v>0</v>
      </c>
      <c r="G80" s="1"/>
      <c r="H80" s="1"/>
      <c r="I80" s="1"/>
      <c r="J80" s="1"/>
    </row>
    <row r="81" spans="2:10">
      <c r="B81" s="285" t="s">
        <v>188</v>
      </c>
      <c r="C81" s="347">
        <v>14</v>
      </c>
      <c r="D81" s="84"/>
      <c r="E81" s="84"/>
      <c r="G81" s="803" t="s">
        <v>841</v>
      </c>
      <c r="H81" s="804"/>
      <c r="I81" s="804"/>
      <c r="J81" s="805"/>
    </row>
    <row r="82" spans="2:10">
      <c r="G82" s="666"/>
      <c r="H82" s="667"/>
      <c r="I82" s="668"/>
      <c r="J82" s="669"/>
    </row>
    <row r="83" spans="2:10">
      <c r="G83" s="670" t="str">
        <f>summ!H28</f>
        <v xml:space="preserve">  </v>
      </c>
      <c r="H83" s="667" t="str">
        <f>CONCATENATE("",E1," Fund Mill Rate")</f>
        <v>2014 Fund Mill Rate</v>
      </c>
      <c r="I83" s="668"/>
      <c r="J83" s="669"/>
    </row>
    <row r="84" spans="2:10">
      <c r="G84" s="671" t="str">
        <f>summ!E28</f>
        <v xml:space="preserve">  </v>
      </c>
      <c r="H84" s="667" t="str">
        <f>CONCATENATE("",E1-1," Fund Mill Rate")</f>
        <v>2013 Fund Mill Rate</v>
      </c>
      <c r="I84" s="668"/>
      <c r="J84" s="669"/>
    </row>
    <row r="85" spans="2:10">
      <c r="G85" s="672">
        <f>summ!H61</f>
        <v>56.5124</v>
      </c>
      <c r="H85" s="667" t="str">
        <f>CONCATENATE("Total ",E1," Mill Rate")</f>
        <v>Total 2014 Mill Rate</v>
      </c>
      <c r="I85" s="668"/>
      <c r="J85" s="669"/>
    </row>
    <row r="86" spans="2:10">
      <c r="G86" s="671">
        <f>summ!E61</f>
        <v>63.972000000000008</v>
      </c>
      <c r="H86" s="673" t="str">
        <f>CONCATENATE("Total ",E1-1," Mill Rate")</f>
        <v>Total 2013 Mill Rate</v>
      </c>
      <c r="I86" s="674"/>
      <c r="J86" s="675"/>
    </row>
    <row r="91" spans="2:10" hidden="1">
      <c r="C91" s="71" t="str">
        <f>IF(C33&gt;C35,"See Tab A","")</f>
        <v/>
      </c>
      <c r="D91" s="71" t="str">
        <f>IF(D33&gt;D35,"See Tab C","")</f>
        <v/>
      </c>
    </row>
    <row r="92" spans="2:10" hidden="1">
      <c r="C92" s="71" t="str">
        <f>IF(C34&lt;0,"See Tab B","")</f>
        <v>See Tab B</v>
      </c>
      <c r="D92" s="71" t="str">
        <f>IF(D34&lt;0,"See Tab D","")</f>
        <v/>
      </c>
    </row>
    <row r="93" spans="2:10" hidden="1">
      <c r="C93" s="71" t="str">
        <f>IF(C73&gt;C75,"See Tab A","")</f>
        <v>See Tab A</v>
      </c>
      <c r="D93" s="71" t="str">
        <f>IF(D73&gt;D75,"See Tab C","")</f>
        <v/>
      </c>
    </row>
    <row r="94" spans="2:10" hidden="1">
      <c r="C94" s="71" t="str">
        <f>IF(C74&lt;0,"See Tab B","")</f>
        <v/>
      </c>
      <c r="D94" s="71" t="str">
        <f>IF(D74&lt;0,"See Tab D","")</f>
        <v/>
      </c>
    </row>
  </sheetData>
  <mergeCells count="12">
    <mergeCell ref="G81:J81"/>
    <mergeCell ref="G24:J24"/>
    <mergeCell ref="G31:J31"/>
    <mergeCell ref="G41:J41"/>
    <mergeCell ref="G64:J64"/>
    <mergeCell ref="G71:J71"/>
    <mergeCell ref="C76:D76"/>
    <mergeCell ref="C77:D77"/>
    <mergeCell ref="C36:D36"/>
    <mergeCell ref="C37:D37"/>
    <mergeCell ref="C80:D80"/>
    <mergeCell ref="C40:D40"/>
  </mergeCells>
  <phoneticPr fontId="0" type="noConversion"/>
  <conditionalFormatting sqref="E71">
    <cfRule type="cellIs" dxfId="292" priority="3" stopIfTrue="1" operator="greaterThan">
      <formula>$E$73*0.1</formula>
    </cfRule>
  </conditionalFormatting>
  <conditionalFormatting sqref="E76">
    <cfRule type="cellIs" dxfId="291" priority="4" stopIfTrue="1" operator="greaterThan">
      <formula>$E$73/0.95-$E$73</formula>
    </cfRule>
  </conditionalFormatting>
  <conditionalFormatting sqref="E36">
    <cfRule type="cellIs" dxfId="290" priority="5" stopIfTrue="1" operator="greaterThan">
      <formula>$E$33/0.95-$E$33</formula>
    </cfRule>
  </conditionalFormatting>
  <conditionalFormatting sqref="E31">
    <cfRule type="cellIs" dxfId="289" priority="6" stopIfTrue="1" operator="greaterThan">
      <formula>$E$33*0.1</formula>
    </cfRule>
  </conditionalFormatting>
  <conditionalFormatting sqref="C74 C34">
    <cfRule type="cellIs" dxfId="288" priority="7" stopIfTrue="1" operator="lessThan">
      <formula>0</formula>
    </cfRule>
  </conditionalFormatting>
  <conditionalFormatting sqref="C73">
    <cfRule type="cellIs" dxfId="287" priority="8" stopIfTrue="1" operator="greaterThan">
      <formula>$C$75</formula>
    </cfRule>
  </conditionalFormatting>
  <conditionalFormatting sqref="D73">
    <cfRule type="cellIs" dxfId="286" priority="9" stopIfTrue="1" operator="greaterThan">
      <formula>$D$75</formula>
    </cfRule>
  </conditionalFormatting>
  <conditionalFormatting sqref="C71">
    <cfRule type="cellIs" dxfId="285" priority="10" stopIfTrue="1" operator="greaterThan">
      <formula>$C$73*0.1</formula>
    </cfRule>
  </conditionalFormatting>
  <conditionalFormatting sqref="D71">
    <cfRule type="cellIs" dxfId="284" priority="11" stopIfTrue="1" operator="greaterThan">
      <formula>$D$73*0.1</formula>
    </cfRule>
  </conditionalFormatting>
  <conditionalFormatting sqref="E58">
    <cfRule type="cellIs" dxfId="283" priority="12" stopIfTrue="1" operator="greaterThan">
      <formula>$E$60*0.1+E80</formula>
    </cfRule>
  </conditionalFormatting>
  <conditionalFormatting sqref="C58">
    <cfRule type="cellIs" dxfId="282" priority="13" stopIfTrue="1" operator="greaterThan">
      <formula>$C$60*0.1</formula>
    </cfRule>
  </conditionalFormatting>
  <conditionalFormatting sqref="D58">
    <cfRule type="cellIs" dxfId="281" priority="14" stopIfTrue="1" operator="greaterThan">
      <formula>$D$60*0.1</formula>
    </cfRule>
  </conditionalFormatting>
  <conditionalFormatting sqref="C33">
    <cfRule type="cellIs" dxfId="280" priority="15" stopIfTrue="1" operator="greaterThan">
      <formula>$C$35</formula>
    </cfRule>
  </conditionalFormatting>
  <conditionalFormatting sqref="D33">
    <cfRule type="cellIs" dxfId="279" priority="16" stopIfTrue="1" operator="greaterThan">
      <formula>$D$35</formula>
    </cfRule>
  </conditionalFormatting>
  <conditionalFormatting sqref="C31">
    <cfRule type="cellIs" dxfId="278" priority="17" stopIfTrue="1" operator="greaterThan">
      <formula>$C$33*0.1</formula>
    </cfRule>
  </conditionalFormatting>
  <conditionalFormatting sqref="D31">
    <cfRule type="cellIs" dxfId="277" priority="18" stopIfTrue="1" operator="greaterThan">
      <formula>$D$33*0.1</formula>
    </cfRule>
  </conditionalFormatting>
  <conditionalFormatting sqref="E18">
    <cfRule type="cellIs" dxfId="276" priority="19" stopIfTrue="1" operator="greaterThan">
      <formula>$E$20*0.1+E40</formula>
    </cfRule>
  </conditionalFormatting>
  <conditionalFormatting sqref="C18">
    <cfRule type="cellIs" dxfId="275" priority="20" stopIfTrue="1" operator="greaterThan">
      <formula>$C$20*0.1</formula>
    </cfRule>
  </conditionalFormatting>
  <conditionalFormatting sqref="D18">
    <cfRule type="cellIs" dxfId="274" priority="21" stopIfTrue="1" operator="greaterThan">
      <formula>$D$20*0.1</formula>
    </cfRule>
  </conditionalFormatting>
  <conditionalFormatting sqref="D34 D74">
    <cfRule type="cellIs" dxfId="273" priority="2" stopIfTrue="1" operator="lessThan">
      <formula>0</formula>
    </cfRule>
  </conditionalFormatting>
  <pageMargins left="1.1200000000000001" right="0.5" top="0.74" bottom="0.34" header="0.5" footer="0"/>
  <pageSetup scale="53" orientation="portrait" blackAndWhite="1" horizontalDpi="120" verticalDpi="144" r:id="rId1"/>
  <headerFooter alignWithMargins="0">
    <oddHeader xml:space="preserve">&amp;RState of Kansas
County
</oddHeader>
  </headerFooter>
</worksheet>
</file>

<file path=xl/worksheets/sheet23.xml><?xml version="1.0" encoding="utf-8"?>
<worksheet xmlns="http://schemas.openxmlformats.org/spreadsheetml/2006/main" xmlns:r="http://schemas.openxmlformats.org/officeDocument/2006/relationships">
  <sheetPr codeName="Sheet18">
    <pageSetUpPr fitToPage="1"/>
  </sheetPr>
  <dimension ref="B1:K94"/>
  <sheetViews>
    <sheetView zoomScaleNormal="100" workbookViewId="0">
      <selection activeCell="E24" sqref="E24"/>
    </sheetView>
  </sheetViews>
  <sheetFormatPr defaultRowHeight="15.75"/>
  <cols>
    <col min="1" max="1" width="2.44140625" style="71" customWidth="1"/>
    <col min="2" max="2" width="31.109375" style="71" customWidth="1"/>
    <col min="3" max="4" width="15.77734375" style="71" customWidth="1"/>
    <col min="5" max="5" width="16.10937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331"/>
      <c r="D3" s="331"/>
      <c r="E3" s="332"/>
    </row>
    <row r="4" spans="2:5">
      <c r="B4" s="83" t="s">
        <v>159</v>
      </c>
      <c r="C4" s="701" t="s">
        <v>842</v>
      </c>
      <c r="D4" s="702" t="s">
        <v>843</v>
      </c>
      <c r="E4" s="214" t="s">
        <v>844</v>
      </c>
    </row>
    <row r="5" spans="2:5">
      <c r="B5" s="482" t="str">
        <f>inputPrYr!B29</f>
        <v>No Fund Warrant (51)</v>
      </c>
      <c r="C5" s="453" t="str">
        <f>CONCATENATE("Actual for ",E1-2,"")</f>
        <v>Actual for 2012</v>
      </c>
      <c r="D5" s="453" t="str">
        <f>CONCATENATE("Estimate for ",E1-1,"")</f>
        <v>Estimate for 2013</v>
      </c>
      <c r="E5" s="300" t="str">
        <f>CONCATENATE("Year for ",E1,"")</f>
        <v>Year for 2014</v>
      </c>
    </row>
    <row r="6" spans="2:5">
      <c r="B6" s="147" t="s">
        <v>278</v>
      </c>
      <c r="C6" s="450">
        <v>0</v>
      </c>
      <c r="D6" s="454">
        <f>C34</f>
        <v>0</v>
      </c>
      <c r="E6" s="263">
        <f>D34</f>
        <v>0</v>
      </c>
    </row>
    <row r="7" spans="2:5">
      <c r="B7" s="288" t="s">
        <v>280</v>
      </c>
      <c r="C7" s="303"/>
      <c r="D7" s="303"/>
      <c r="E7" s="126"/>
    </row>
    <row r="8" spans="2:5">
      <c r="B8" s="147" t="s">
        <v>160</v>
      </c>
      <c r="C8" s="450"/>
      <c r="D8" s="454">
        <f>IF(inputPrYr!H29&gt;0,inputPrYr!H29,inputPrYr!E29)</f>
        <v>0</v>
      </c>
      <c r="E8" s="335" t="s">
        <v>148</v>
      </c>
    </row>
    <row r="9" spans="2:5">
      <c r="B9" s="147" t="s">
        <v>161</v>
      </c>
      <c r="C9" s="450"/>
      <c r="D9" s="450"/>
      <c r="E9" s="111"/>
    </row>
    <row r="10" spans="2:5">
      <c r="B10" s="147" t="s">
        <v>162</v>
      </c>
      <c r="C10" s="450"/>
      <c r="D10" s="450"/>
      <c r="E10" s="263" t="str">
        <f>mvalloc!E20</f>
        <v xml:space="preserve">  </v>
      </c>
    </row>
    <row r="11" spans="2:5">
      <c r="B11" s="147" t="s">
        <v>163</v>
      </c>
      <c r="C11" s="450"/>
      <c r="D11" s="450"/>
      <c r="E11" s="263" t="str">
        <f>mvalloc!F20</f>
        <v xml:space="preserve">  </v>
      </c>
    </row>
    <row r="12" spans="2:5">
      <c r="B12" s="303" t="s">
        <v>227</v>
      </c>
      <c r="C12" s="450"/>
      <c r="D12" s="450"/>
      <c r="E12" s="263" t="str">
        <f>mvalloc!G20</f>
        <v xml:space="preserve">  </v>
      </c>
    </row>
    <row r="13" spans="2:5">
      <c r="B13" s="316"/>
      <c r="C13" s="450"/>
      <c r="D13" s="450"/>
      <c r="E13" s="111"/>
    </row>
    <row r="14" spans="2:5">
      <c r="B14" s="316"/>
      <c r="C14" s="450"/>
      <c r="D14" s="450"/>
      <c r="E14" s="111"/>
    </row>
    <row r="15" spans="2:5">
      <c r="B15" s="316"/>
      <c r="C15" s="450"/>
      <c r="D15" s="450"/>
      <c r="E15" s="111"/>
    </row>
    <row r="16" spans="2:5">
      <c r="B16" s="316"/>
      <c r="C16" s="450"/>
      <c r="D16" s="450"/>
      <c r="E16" s="111"/>
    </row>
    <row r="17" spans="2:10">
      <c r="B17" s="306" t="s">
        <v>167</v>
      </c>
      <c r="C17" s="450"/>
      <c r="D17" s="450"/>
      <c r="E17" s="111"/>
    </row>
    <row r="18" spans="2:10">
      <c r="B18" s="307" t="s">
        <v>75</v>
      </c>
      <c r="C18" s="450"/>
      <c r="D18" s="450"/>
      <c r="E18" s="111"/>
    </row>
    <row r="19" spans="2:10">
      <c r="B19" s="307" t="s">
        <v>76</v>
      </c>
      <c r="C19" s="451" t="str">
        <f>IF(C20*0.1&lt;C18,"Exceed 10% Rule","")</f>
        <v/>
      </c>
      <c r="D19" s="451" t="str">
        <f>IF(D20*0.1&lt;D18,"Exceed 10% Rule","")</f>
        <v/>
      </c>
      <c r="E19" s="342" t="str">
        <f>IF(E20*0.1+E40&lt;E18,"Exceed 10% Rule","")</f>
        <v/>
      </c>
    </row>
    <row r="20" spans="2:10">
      <c r="B20" s="309" t="s">
        <v>168</v>
      </c>
      <c r="C20" s="452">
        <f>SUM(C8:C18)</f>
        <v>0</v>
      </c>
      <c r="D20" s="452">
        <f>SUM(D8:D18)</f>
        <v>0</v>
      </c>
      <c r="E20" s="350">
        <f>SUM(E8:E18)</f>
        <v>0</v>
      </c>
    </row>
    <row r="21" spans="2:10">
      <c r="B21" s="309" t="s">
        <v>169</v>
      </c>
      <c r="C21" s="452">
        <f>C6+C20</f>
        <v>0</v>
      </c>
      <c r="D21" s="452">
        <f>D6+D20</f>
        <v>0</v>
      </c>
      <c r="E21" s="350">
        <f>E6+E20</f>
        <v>0</v>
      </c>
    </row>
    <row r="22" spans="2:10">
      <c r="B22" s="147" t="s">
        <v>172</v>
      </c>
      <c r="C22" s="307"/>
      <c r="D22" s="307"/>
      <c r="E22" s="107"/>
    </row>
    <row r="23" spans="2:10">
      <c r="B23" s="316" t="s">
        <v>1099</v>
      </c>
      <c r="C23" s="450"/>
      <c r="D23" s="450"/>
      <c r="E23" s="111">
        <v>0</v>
      </c>
    </row>
    <row r="24" spans="2:10">
      <c r="B24" s="316"/>
      <c r="C24" s="450"/>
      <c r="D24" s="450"/>
      <c r="E24" s="111"/>
      <c r="G24" s="800" t="str">
        <f>CONCATENATE("Desired Carryover Into ",E1+1,"")</f>
        <v>Desired Carryover Into 2015</v>
      </c>
      <c r="H24" s="801"/>
      <c r="I24" s="801"/>
      <c r="J24" s="802"/>
    </row>
    <row r="25" spans="2:10">
      <c r="B25" s="316"/>
      <c r="C25" s="450"/>
      <c r="D25" s="450"/>
      <c r="E25" s="111"/>
      <c r="G25" s="648"/>
      <c r="H25" s="649"/>
      <c r="I25" s="650"/>
      <c r="J25" s="651"/>
    </row>
    <row r="26" spans="2:10">
      <c r="B26" s="316"/>
      <c r="C26" s="450"/>
      <c r="D26" s="450"/>
      <c r="E26" s="111"/>
      <c r="G26" s="652" t="s">
        <v>688</v>
      </c>
      <c r="H26" s="650"/>
      <c r="I26" s="650"/>
      <c r="J26" s="653">
        <v>0</v>
      </c>
    </row>
    <row r="27" spans="2:10">
      <c r="B27" s="316"/>
      <c r="C27" s="450"/>
      <c r="D27" s="450"/>
      <c r="E27" s="111"/>
      <c r="G27" s="648" t="s">
        <v>689</v>
      </c>
      <c r="H27" s="649"/>
      <c r="I27" s="649"/>
      <c r="J27" s="654" t="str">
        <f>IF(J26=0,"",ROUND((J26+E40-G39)/inputOth!E6*1000,3)-G44)</f>
        <v/>
      </c>
    </row>
    <row r="28" spans="2:10">
      <c r="B28" s="316"/>
      <c r="C28" s="450"/>
      <c r="D28" s="450"/>
      <c r="E28" s="111"/>
      <c r="G28" s="655" t="str">
        <f>CONCATENATE("",E1," Tot Exp/Non-Appr Must Be:")</f>
        <v>2014 Tot Exp/Non-Appr Must Be:</v>
      </c>
      <c r="H28" s="656"/>
      <c r="I28" s="657"/>
      <c r="J28" s="658">
        <f>IF(J26&gt;0,IF(E37&lt;E21,IF(J26=G39,E37,((J26-G39)*(1-D39))+E21),E37+(J26-G39)),0)</f>
        <v>0</v>
      </c>
    </row>
    <row r="29" spans="2:10">
      <c r="B29" s="316"/>
      <c r="C29" s="450"/>
      <c r="D29" s="450"/>
      <c r="E29" s="111"/>
      <c r="G29" s="659" t="s">
        <v>840</v>
      </c>
      <c r="H29" s="660"/>
      <c r="I29" s="660"/>
      <c r="J29" s="661">
        <f>IF(J26&gt;0,J28-E37,0)</f>
        <v>0</v>
      </c>
    </row>
    <row r="30" spans="2:10">
      <c r="B30" s="307" t="s">
        <v>77</v>
      </c>
      <c r="C30" s="450"/>
      <c r="D30" s="450"/>
      <c r="E30" s="119" t="str">
        <f>Nhood!E19</f>
        <v/>
      </c>
      <c r="G30" s="1"/>
      <c r="H30" s="1"/>
      <c r="I30" s="1"/>
      <c r="J30" s="1"/>
    </row>
    <row r="31" spans="2:10">
      <c r="B31" s="307" t="s">
        <v>75</v>
      </c>
      <c r="C31" s="450"/>
      <c r="D31" s="450"/>
      <c r="E31" s="111"/>
      <c r="G31" s="800" t="str">
        <f>CONCATENATE("Projected Carryover Into ",E1+1,"")</f>
        <v>Projected Carryover Into 2015</v>
      </c>
      <c r="H31" s="807"/>
      <c r="I31" s="807"/>
      <c r="J31" s="808"/>
    </row>
    <row r="32" spans="2:10">
      <c r="B32" s="307" t="s">
        <v>78</v>
      </c>
      <c r="C32" s="451" t="str">
        <f>IF(C33*0.1&lt;C31,"Exceed 10% Rule","")</f>
        <v/>
      </c>
      <c r="D32" s="451" t="str">
        <f>IF(D33*0.1&lt;D31,"Exceed 10% Rule","")</f>
        <v/>
      </c>
      <c r="E32" s="342" t="str">
        <f>IF(E33*0.1&lt;E31,"Exceed 10% Rule","")</f>
        <v/>
      </c>
      <c r="G32" s="648"/>
      <c r="H32" s="650"/>
      <c r="I32" s="650"/>
      <c r="J32" s="676"/>
    </row>
    <row r="33" spans="2:11">
      <c r="B33" s="309" t="s">
        <v>173</v>
      </c>
      <c r="C33" s="452">
        <f>SUM(C23:C31)</f>
        <v>0</v>
      </c>
      <c r="D33" s="452">
        <f>SUM(D23:D31)</f>
        <v>0</v>
      </c>
      <c r="E33" s="350">
        <f>SUM(E23:E31)</f>
        <v>0</v>
      </c>
      <c r="G33" s="677">
        <f>D34</f>
        <v>0</v>
      </c>
      <c r="H33" s="667" t="str">
        <f>CONCATENATE("",E1-1," Ending Cash Balance (est.)")</f>
        <v>2013 Ending Cash Balance (est.)</v>
      </c>
      <c r="I33" s="678"/>
      <c r="J33" s="676"/>
    </row>
    <row r="34" spans="2:11">
      <c r="B34" s="147" t="s">
        <v>279</v>
      </c>
      <c r="C34" s="455">
        <f>C21-C33</f>
        <v>0</v>
      </c>
      <c r="D34" s="455">
        <f>D21-D33</f>
        <v>0</v>
      </c>
      <c r="E34" s="335" t="s">
        <v>148</v>
      </c>
      <c r="G34" s="677">
        <f>E20</f>
        <v>0</v>
      </c>
      <c r="H34" s="650" t="str">
        <f>CONCATENATE("",E1," Non-AV Receipts (est.)")</f>
        <v>2014 Non-AV Receipts (est.)</v>
      </c>
      <c r="I34" s="678"/>
      <c r="J34" s="676"/>
    </row>
    <row r="35" spans="2:11">
      <c r="B35" s="285" t="str">
        <f>CONCATENATE("",E$1-2,"/",E$1-1," Budget Authority Amount:")</f>
        <v>2012/2013 Budget Authority Amount:</v>
      </c>
      <c r="C35" s="277">
        <f>inputOth!B43</f>
        <v>0</v>
      </c>
      <c r="D35" s="277">
        <f>inputPrYr!D29</f>
        <v>4</v>
      </c>
      <c r="E35" s="335" t="s">
        <v>148</v>
      </c>
      <c r="F35" s="318"/>
      <c r="G35" s="679">
        <f>IF(E39&gt;0,E38,E40)</f>
        <v>0</v>
      </c>
      <c r="H35" s="650" t="str">
        <f>CONCATENATE("",E1," Ad Valorem Tax (est.)")</f>
        <v>2014 Ad Valorem Tax (est.)</v>
      </c>
      <c r="I35" s="678"/>
      <c r="J35" s="676"/>
      <c r="K35" s="664" t="str">
        <f>IF(G35=E40,"","Note: Does not include Delinquent Taxes")</f>
        <v/>
      </c>
    </row>
    <row r="36" spans="2:11">
      <c r="B36" s="285"/>
      <c r="C36" s="790" t="s">
        <v>685</v>
      </c>
      <c r="D36" s="791"/>
      <c r="E36" s="111">
        <v>0</v>
      </c>
      <c r="F36" s="500" t="str">
        <f>IF(E33/0.95-E33&lt;E36,"Exceeds 5%","")</f>
        <v/>
      </c>
      <c r="G36" s="677">
        <f>SUM(G33:G35)</f>
        <v>0</v>
      </c>
      <c r="H36" s="650" t="str">
        <f>CONCATENATE("Total ",E1," Resources Available")</f>
        <v>Total 2014 Resources Available</v>
      </c>
      <c r="I36" s="678"/>
      <c r="J36" s="676"/>
    </row>
    <row r="37" spans="2:11">
      <c r="B37" s="504" t="str">
        <f>CONCATENATE(C91,"     ",D91)</f>
        <v xml:space="preserve">     </v>
      </c>
      <c r="C37" s="792" t="s">
        <v>686</v>
      </c>
      <c r="D37" s="793"/>
      <c r="E37" s="263">
        <f>E33+E36</f>
        <v>0</v>
      </c>
      <c r="G37" s="680"/>
      <c r="H37" s="650"/>
      <c r="I37" s="650"/>
      <c r="J37" s="676"/>
    </row>
    <row r="38" spans="2:11">
      <c r="B38" s="504" t="str">
        <f>CONCATENATE(C92,"     ",D92)</f>
        <v xml:space="preserve">     </v>
      </c>
      <c r="C38" s="319"/>
      <c r="D38" s="238" t="s">
        <v>174</v>
      </c>
      <c r="E38" s="119">
        <f>IF(E37-E21&gt;0,E37-E21,0)</f>
        <v>0</v>
      </c>
      <c r="G38" s="679">
        <f>ROUND(C33*0.05+C33,0)</f>
        <v>0</v>
      </c>
      <c r="H38" s="650" t="str">
        <f>CONCATENATE("Less ",E1-2," Expenditures + 5%")</f>
        <v>Less 2012 Expenditures + 5%</v>
      </c>
      <c r="I38" s="678"/>
      <c r="J38" s="681"/>
    </row>
    <row r="39" spans="2:11">
      <c r="B39" s="238"/>
      <c r="C39" s="502" t="s">
        <v>687</v>
      </c>
      <c r="D39" s="647">
        <f>inputOth!$E$23</f>
        <v>0.03</v>
      </c>
      <c r="E39" s="263">
        <f>ROUND(IF(D39&gt;0,($E$38*D39),0),0)</f>
        <v>0</v>
      </c>
      <c r="G39" s="682">
        <f>G36-G38</f>
        <v>0</v>
      </c>
      <c r="H39" s="683" t="str">
        <f>CONCATENATE("Projected ",E1+1," carryover (est.)")</f>
        <v>Projected 2015 carryover (est.)</v>
      </c>
      <c r="I39" s="684"/>
      <c r="J39" s="685"/>
    </row>
    <row r="40" spans="2:11">
      <c r="B40" s="84"/>
      <c r="C40" s="798" t="str">
        <f>CONCATENATE("Amount of  ",$E$1-1," Ad Valorem Tax")</f>
        <v>Amount of  2013 Ad Valorem Tax</v>
      </c>
      <c r="D40" s="799"/>
      <c r="E40" s="346">
        <f>E38+E39</f>
        <v>0</v>
      </c>
      <c r="G40" s="1"/>
      <c r="H40" s="1"/>
      <c r="I40" s="1"/>
      <c r="J40" s="1"/>
    </row>
    <row r="41" spans="2:11">
      <c r="B41" s="84"/>
      <c r="C41" s="325"/>
      <c r="D41" s="325"/>
      <c r="E41" s="325"/>
      <c r="G41" s="803" t="s">
        <v>841</v>
      </c>
      <c r="H41" s="804"/>
      <c r="I41" s="804"/>
      <c r="J41" s="805"/>
    </row>
    <row r="42" spans="2:11">
      <c r="B42" s="83" t="s">
        <v>159</v>
      </c>
      <c r="C42" s="701" t="str">
        <f t="shared" ref="C42:E43" si="0">C4</f>
        <v xml:space="preserve">Prior Year </v>
      </c>
      <c r="D42" s="702" t="str">
        <f t="shared" si="0"/>
        <v xml:space="preserve">Current Year </v>
      </c>
      <c r="E42" s="214" t="str">
        <f t="shared" si="0"/>
        <v xml:space="preserve">Proposed Budget </v>
      </c>
      <c r="G42" s="666"/>
      <c r="H42" s="667"/>
      <c r="I42" s="668"/>
      <c r="J42" s="669"/>
    </row>
    <row r="43" spans="2:11">
      <c r="B43" s="481">
        <f>inputPrYr!B30</f>
        <v>0</v>
      </c>
      <c r="C43" s="453" t="str">
        <f t="shared" si="0"/>
        <v>Actual for 2012</v>
      </c>
      <c r="D43" s="453" t="str">
        <f t="shared" si="0"/>
        <v>Estimate for 2013</v>
      </c>
      <c r="E43" s="300" t="str">
        <f t="shared" si="0"/>
        <v>Year for 2014</v>
      </c>
      <c r="G43" s="670" t="str">
        <f>summ!H29</f>
        <v xml:space="preserve">  </v>
      </c>
      <c r="H43" s="667" t="str">
        <f>CONCATENATE("",E1," Fund Mill Rate")</f>
        <v>2014 Fund Mill Rate</v>
      </c>
      <c r="I43" s="668"/>
      <c r="J43" s="669"/>
    </row>
    <row r="44" spans="2:11">
      <c r="B44" s="147" t="s">
        <v>278</v>
      </c>
      <c r="C44" s="450"/>
      <c r="D44" s="454">
        <f>C74</f>
        <v>0</v>
      </c>
      <c r="E44" s="263">
        <f>D74</f>
        <v>0</v>
      </c>
      <c r="G44" s="671" t="str">
        <f>summ!E29</f>
        <v xml:space="preserve">  </v>
      </c>
      <c r="H44" s="667" t="str">
        <f>CONCATENATE("",E1-1," Fund Mill Rate")</f>
        <v>2013 Fund Mill Rate</v>
      </c>
      <c r="I44" s="668"/>
      <c r="J44" s="669"/>
    </row>
    <row r="45" spans="2:11">
      <c r="B45" s="301" t="s">
        <v>280</v>
      </c>
      <c r="C45" s="303"/>
      <c r="D45" s="303"/>
      <c r="E45" s="126"/>
      <c r="G45" s="672">
        <f>summ!H61</f>
        <v>56.5124</v>
      </c>
      <c r="H45" s="667" t="str">
        <f>CONCATENATE("Total ",E1," Mill Rate")</f>
        <v>Total 2014 Mill Rate</v>
      </c>
      <c r="I45" s="668"/>
      <c r="J45" s="669"/>
    </row>
    <row r="46" spans="2:11">
      <c r="B46" s="147" t="s">
        <v>160</v>
      </c>
      <c r="C46" s="450"/>
      <c r="D46" s="454">
        <f>IF(inputPrYr!H30&gt;0,inputPrYr!H30,inputPrYr!E30)</f>
        <v>0</v>
      </c>
      <c r="E46" s="335" t="s">
        <v>148</v>
      </c>
      <c r="G46" s="671">
        <f>summ!E61</f>
        <v>63.972000000000008</v>
      </c>
      <c r="H46" s="673" t="str">
        <f>CONCATENATE("Total ",E1-1," Mill Rate")</f>
        <v>Total 2013 Mill Rate</v>
      </c>
      <c r="I46" s="674"/>
      <c r="J46" s="675"/>
    </row>
    <row r="47" spans="2:11">
      <c r="B47" s="147" t="s">
        <v>161</v>
      </c>
      <c r="C47" s="450"/>
      <c r="D47" s="450"/>
      <c r="E47" s="111"/>
      <c r="G47" s="1"/>
      <c r="H47" s="1"/>
      <c r="I47" s="1"/>
      <c r="J47" s="1"/>
    </row>
    <row r="48" spans="2:11">
      <c r="B48" s="147" t="s">
        <v>162</v>
      </c>
      <c r="C48" s="450"/>
      <c r="D48" s="450"/>
      <c r="E48" s="263" t="str">
        <f>mvalloc!E21</f>
        <v xml:space="preserve">  </v>
      </c>
      <c r="G48" s="1"/>
      <c r="H48" s="1"/>
      <c r="I48" s="1"/>
      <c r="J48" s="1"/>
    </row>
    <row r="49" spans="2:10">
      <c r="B49" s="147" t="s">
        <v>163</v>
      </c>
      <c r="C49" s="450"/>
      <c r="D49" s="450"/>
      <c r="E49" s="263" t="str">
        <f>mvalloc!F21</f>
        <v xml:space="preserve">  </v>
      </c>
      <c r="G49" s="1"/>
      <c r="H49" s="1"/>
      <c r="I49" s="1"/>
      <c r="J49" s="1"/>
    </row>
    <row r="50" spans="2:10">
      <c r="B50" s="303" t="s">
        <v>227</v>
      </c>
      <c r="C50" s="450"/>
      <c r="D50" s="450"/>
      <c r="E50" s="263" t="str">
        <f>mvalloc!G21</f>
        <v xml:space="preserve">  </v>
      </c>
      <c r="G50" s="1"/>
      <c r="H50" s="1"/>
      <c r="I50" s="1"/>
      <c r="J50" s="1"/>
    </row>
    <row r="51" spans="2:10">
      <c r="B51" s="316"/>
      <c r="C51" s="450"/>
      <c r="D51" s="450"/>
      <c r="E51" s="111"/>
      <c r="G51" s="1"/>
      <c r="H51" s="1"/>
      <c r="I51" s="1"/>
      <c r="J51" s="1"/>
    </row>
    <row r="52" spans="2:10">
      <c r="B52" s="316"/>
      <c r="C52" s="450"/>
      <c r="D52" s="450"/>
      <c r="E52" s="111"/>
      <c r="G52" s="1"/>
      <c r="H52" s="1"/>
      <c r="I52" s="1"/>
      <c r="J52" s="1"/>
    </row>
    <row r="53" spans="2:10">
      <c r="B53" s="316"/>
      <c r="C53" s="450"/>
      <c r="D53" s="450"/>
      <c r="E53" s="111"/>
      <c r="G53" s="1"/>
      <c r="H53" s="1"/>
      <c r="I53" s="1"/>
      <c r="J53" s="1"/>
    </row>
    <row r="54" spans="2:10">
      <c r="B54" s="316"/>
      <c r="C54" s="450"/>
      <c r="D54" s="450"/>
      <c r="E54" s="111"/>
      <c r="G54" s="1"/>
      <c r="H54" s="1"/>
      <c r="I54" s="1"/>
      <c r="J54" s="1"/>
    </row>
    <row r="55" spans="2:10">
      <c r="B55" s="316"/>
      <c r="C55" s="450"/>
      <c r="D55" s="450"/>
      <c r="E55" s="111"/>
      <c r="G55" s="1"/>
      <c r="H55" s="1"/>
      <c r="I55" s="1"/>
      <c r="J55" s="1"/>
    </row>
    <row r="56" spans="2:10">
      <c r="B56" s="316"/>
      <c r="C56" s="450"/>
      <c r="D56" s="450"/>
      <c r="E56" s="111"/>
      <c r="G56" s="1"/>
      <c r="H56" s="1"/>
      <c r="I56" s="1"/>
      <c r="J56" s="1"/>
    </row>
    <row r="57" spans="2:10">
      <c r="B57" s="306" t="s">
        <v>167</v>
      </c>
      <c r="C57" s="450"/>
      <c r="D57" s="450"/>
      <c r="E57" s="111"/>
      <c r="G57" s="1"/>
      <c r="H57" s="1"/>
      <c r="I57" s="1"/>
      <c r="J57" s="1"/>
    </row>
    <row r="58" spans="2:10">
      <c r="B58" s="307" t="s">
        <v>75</v>
      </c>
      <c r="C58" s="450"/>
      <c r="D58" s="450"/>
      <c r="E58" s="111"/>
      <c r="G58" s="1"/>
      <c r="H58" s="1"/>
      <c r="I58" s="1"/>
      <c r="J58" s="1"/>
    </row>
    <row r="59" spans="2:10">
      <c r="B59" s="307" t="s">
        <v>76</v>
      </c>
      <c r="C59" s="451" t="str">
        <f>IF(C60*0.1&lt;C58,"Exceed 10% Rule","")</f>
        <v/>
      </c>
      <c r="D59" s="451" t="str">
        <f>IF(D60*0.1&lt;D58,"Exceed 10% Rule","")</f>
        <v/>
      </c>
      <c r="E59" s="342" t="str">
        <f>IF(E60*0.1+E80&lt;E58,"Exceed 10% Rule","")</f>
        <v/>
      </c>
      <c r="G59" s="1"/>
      <c r="H59" s="1"/>
      <c r="I59" s="1"/>
      <c r="J59" s="1"/>
    </row>
    <row r="60" spans="2:10">
      <c r="B60" s="309" t="s">
        <v>168</v>
      </c>
      <c r="C60" s="452">
        <f>SUM(C46:C58)</f>
        <v>0</v>
      </c>
      <c r="D60" s="452">
        <f>SUM(D46:D58)</f>
        <v>0</v>
      </c>
      <c r="E60" s="350">
        <f>SUM(E46:E58)</f>
        <v>0</v>
      </c>
      <c r="G60" s="1"/>
      <c r="H60" s="1"/>
      <c r="I60" s="1"/>
      <c r="J60" s="1"/>
    </row>
    <row r="61" spans="2:10">
      <c r="B61" s="309" t="s">
        <v>169</v>
      </c>
      <c r="C61" s="452">
        <f>C44+C60</f>
        <v>0</v>
      </c>
      <c r="D61" s="452">
        <f>D44+D60</f>
        <v>0</v>
      </c>
      <c r="E61" s="350">
        <f>E44+E60</f>
        <v>0</v>
      </c>
      <c r="G61" s="1"/>
      <c r="H61" s="1"/>
      <c r="I61" s="1"/>
      <c r="J61" s="1"/>
    </row>
    <row r="62" spans="2:10">
      <c r="B62" s="147" t="s">
        <v>172</v>
      </c>
      <c r="C62" s="307"/>
      <c r="D62" s="307"/>
      <c r="E62" s="107"/>
      <c r="G62" s="1"/>
      <c r="H62" s="1"/>
      <c r="I62" s="1"/>
      <c r="J62" s="1"/>
    </row>
    <row r="63" spans="2:10">
      <c r="B63" s="316"/>
      <c r="C63" s="450"/>
      <c r="D63" s="450"/>
      <c r="E63" s="111"/>
      <c r="G63" s="1"/>
      <c r="H63" s="1"/>
      <c r="I63" s="1"/>
      <c r="J63" s="1"/>
    </row>
    <row r="64" spans="2:10">
      <c r="B64" s="316"/>
      <c r="C64" s="450"/>
      <c r="D64" s="450"/>
      <c r="E64" s="111"/>
      <c r="G64" s="800" t="str">
        <f>CONCATENATE("Desired Carryover Into ",E1+1,"")</f>
        <v>Desired Carryover Into 2015</v>
      </c>
      <c r="H64" s="801"/>
      <c r="I64" s="801"/>
      <c r="J64" s="802"/>
    </row>
    <row r="65" spans="2:11">
      <c r="B65" s="316"/>
      <c r="C65" s="450"/>
      <c r="D65" s="450"/>
      <c r="E65" s="111"/>
      <c r="G65" s="648"/>
      <c r="H65" s="649"/>
      <c r="I65" s="650"/>
      <c r="J65" s="651"/>
    </row>
    <row r="66" spans="2:11">
      <c r="B66" s="316"/>
      <c r="C66" s="450"/>
      <c r="D66" s="450"/>
      <c r="E66" s="111"/>
      <c r="G66" s="652" t="s">
        <v>688</v>
      </c>
      <c r="H66" s="650"/>
      <c r="I66" s="650"/>
      <c r="J66" s="653">
        <v>0</v>
      </c>
    </row>
    <row r="67" spans="2:11">
      <c r="B67" s="316"/>
      <c r="C67" s="450"/>
      <c r="D67" s="450"/>
      <c r="E67" s="111"/>
      <c r="G67" s="648" t="s">
        <v>689</v>
      </c>
      <c r="H67" s="649"/>
      <c r="I67" s="649"/>
      <c r="J67" s="654" t="str">
        <f>IF(J66=0,"",ROUND((J66+E80-G79)/inputOth!E6*1000,3)-G84)</f>
        <v/>
      </c>
    </row>
    <row r="68" spans="2:11">
      <c r="B68" s="316"/>
      <c r="C68" s="450"/>
      <c r="D68" s="450"/>
      <c r="E68" s="111"/>
      <c r="G68" s="655" t="str">
        <f>CONCATENATE("",E1," Tot Exp/Non-Appr Must Be:")</f>
        <v>2014 Tot Exp/Non-Appr Must Be:</v>
      </c>
      <c r="H68" s="656"/>
      <c r="I68" s="657"/>
      <c r="J68" s="658">
        <f>IF(J66&gt;0,IF(E77&lt;E61,IF(J66=G79,E77,((J66-G79)*(1-D79))+E61),E77+(J66-G79)),0)</f>
        <v>0</v>
      </c>
    </row>
    <row r="69" spans="2:11">
      <c r="B69" s="316"/>
      <c r="C69" s="450"/>
      <c r="D69" s="450"/>
      <c r="E69" s="111"/>
      <c r="G69" s="659" t="s">
        <v>840</v>
      </c>
      <c r="H69" s="660"/>
      <c r="I69" s="660"/>
      <c r="J69" s="661">
        <f>IF(J66&gt;0,J68-E77,0)</f>
        <v>0</v>
      </c>
    </row>
    <row r="70" spans="2:11">
      <c r="B70" s="307" t="s">
        <v>77</v>
      </c>
      <c r="C70" s="450"/>
      <c r="D70" s="450"/>
      <c r="E70" s="119" t="str">
        <f>Nhood!E20</f>
        <v/>
      </c>
      <c r="G70" s="1"/>
      <c r="H70" s="1"/>
      <c r="I70" s="1"/>
      <c r="J70" s="1"/>
    </row>
    <row r="71" spans="2:11">
      <c r="B71" s="307" t="s">
        <v>75</v>
      </c>
      <c r="C71" s="450"/>
      <c r="D71" s="450"/>
      <c r="E71" s="111"/>
      <c r="G71" s="800" t="str">
        <f>CONCATENATE("Projected Carryover Into ",E1+1,"")</f>
        <v>Projected Carryover Into 2015</v>
      </c>
      <c r="H71" s="809"/>
      <c r="I71" s="809"/>
      <c r="J71" s="808"/>
    </row>
    <row r="72" spans="2:11">
      <c r="B72" s="307" t="s">
        <v>78</v>
      </c>
      <c r="C72" s="451" t="str">
        <f>IF(C73*0.1&lt;C71,"Exceed 10% Rule","")</f>
        <v/>
      </c>
      <c r="D72" s="451" t="str">
        <f>IF(D73*0.1&lt;D71,"Exceed 10% Rule","")</f>
        <v/>
      </c>
      <c r="E72" s="342" t="str">
        <f>IF(E73*0.1&lt;E71,"Exceed 10% Rule","")</f>
        <v/>
      </c>
      <c r="G72" s="686"/>
      <c r="H72" s="649"/>
      <c r="I72" s="649"/>
      <c r="J72" s="681"/>
    </row>
    <row r="73" spans="2:11">
      <c r="B73" s="309" t="s">
        <v>173</v>
      </c>
      <c r="C73" s="452">
        <f>SUM(C63:C71)</f>
        <v>0</v>
      </c>
      <c r="D73" s="452">
        <f>SUM(D63:D71)</f>
        <v>0</v>
      </c>
      <c r="E73" s="350">
        <f>SUM(E63:E71)</f>
        <v>0</v>
      </c>
      <c r="G73" s="677">
        <f>D74</f>
        <v>0</v>
      </c>
      <c r="H73" s="667" t="str">
        <f>CONCATENATE("",E1-1," Ending Cash Balance (est.)")</f>
        <v>2013 Ending Cash Balance (est.)</v>
      </c>
      <c r="I73" s="678"/>
      <c r="J73" s="681"/>
    </row>
    <row r="74" spans="2:11">
      <c r="B74" s="147" t="s">
        <v>279</v>
      </c>
      <c r="C74" s="455">
        <f>C61-C73</f>
        <v>0</v>
      </c>
      <c r="D74" s="455">
        <f>D61-D73</f>
        <v>0</v>
      </c>
      <c r="E74" s="335" t="s">
        <v>148</v>
      </c>
      <c r="G74" s="677">
        <f>E60</f>
        <v>0</v>
      </c>
      <c r="H74" s="650" t="str">
        <f>CONCATENATE("",E1," Non-AV Receipts (est.)")</f>
        <v>2014 Non-AV Receipts (est.)</v>
      </c>
      <c r="I74" s="678"/>
      <c r="J74" s="681"/>
    </row>
    <row r="75" spans="2:11">
      <c r="B75" s="285" t="str">
        <f>CONCATENATE("",E$1-2,"/",E$1-1," Budget Authority Amount:")</f>
        <v>2012/2013 Budget Authority Amount:</v>
      </c>
      <c r="C75" s="277">
        <f>inputOth!B44</f>
        <v>0</v>
      </c>
      <c r="D75" s="277">
        <f>inputPrYr!D30</f>
        <v>0</v>
      </c>
      <c r="E75" s="335" t="s">
        <v>148</v>
      </c>
      <c r="F75" s="318"/>
      <c r="G75" s="679">
        <f>IF(E79&gt;0,E78,E80)</f>
        <v>0</v>
      </c>
      <c r="H75" s="650" t="str">
        <f>CONCATENATE("",E1," Ad Valorem Tax (est.)")</f>
        <v>2014 Ad Valorem Tax (est.)</v>
      </c>
      <c r="I75" s="678"/>
      <c r="J75" s="681"/>
      <c r="K75" s="664" t="str">
        <f>IF(G75=E80,"","Note: Does not include Delinquent Taxes")</f>
        <v/>
      </c>
    </row>
    <row r="76" spans="2:11">
      <c r="B76" s="285"/>
      <c r="C76" s="790" t="s">
        <v>685</v>
      </c>
      <c r="D76" s="791"/>
      <c r="E76" s="111"/>
      <c r="F76" s="500" t="str">
        <f>IF(E73/0.95-E73&lt;E76,"Exceeds 5%","")</f>
        <v/>
      </c>
      <c r="G76" s="687">
        <f>SUM(G73:G75)</f>
        <v>0</v>
      </c>
      <c r="H76" s="650" t="str">
        <f>CONCATENATE("Total ",E1," Resources Available")</f>
        <v>Total 2014 Resources Available</v>
      </c>
      <c r="I76" s="688"/>
      <c r="J76" s="681"/>
    </row>
    <row r="77" spans="2:11">
      <c r="B77" s="503" t="str">
        <f>CONCATENATE(C93,"     ",D93)</f>
        <v xml:space="preserve">     </v>
      </c>
      <c r="C77" s="792" t="s">
        <v>686</v>
      </c>
      <c r="D77" s="793"/>
      <c r="E77" s="263">
        <f>E73+E76</f>
        <v>0</v>
      </c>
      <c r="G77" s="689"/>
      <c r="H77" s="690"/>
      <c r="I77" s="649"/>
      <c r="J77" s="681"/>
    </row>
    <row r="78" spans="2:11">
      <c r="B78" s="503" t="str">
        <f>CONCATENATE(C94,"     ",D94)</f>
        <v xml:space="preserve">     </v>
      </c>
      <c r="C78" s="319"/>
      <c r="D78" s="238" t="s">
        <v>174</v>
      </c>
      <c r="E78" s="119">
        <f>IF(E77-E61&gt;0,E77-E61,0)</f>
        <v>0</v>
      </c>
      <c r="G78" s="691">
        <f>ROUND(C73*0.05+C73,0)</f>
        <v>0</v>
      </c>
      <c r="H78" s="650" t="str">
        <f>CONCATENATE("Less ",E1-2," Expenditures + 5%")</f>
        <v>Less 2012 Expenditures + 5%</v>
      </c>
      <c r="I78" s="688"/>
      <c r="J78" s="681"/>
    </row>
    <row r="79" spans="2:11">
      <c r="B79" s="238"/>
      <c r="C79" s="502" t="s">
        <v>687</v>
      </c>
      <c r="D79" s="647">
        <f>inputOth!$E$23</f>
        <v>0.03</v>
      </c>
      <c r="E79" s="263">
        <f>ROUND(IF(D79&gt;0,($E$78*D79),0),0)</f>
        <v>0</v>
      </c>
      <c r="G79" s="692">
        <f>G76-G78</f>
        <v>0</v>
      </c>
      <c r="H79" s="683" t="str">
        <f>CONCATENATE("Projected ",E1+1," carryover (est.)")</f>
        <v>Projected 2015 carryover (est.)</v>
      </c>
      <c r="I79" s="693"/>
      <c r="J79" s="694"/>
    </row>
    <row r="80" spans="2:11">
      <c r="B80" s="84"/>
      <c r="C80" s="798" t="str">
        <f>CONCATENATE("Amount of  ",$E$1-1," Ad Valorem Tax")</f>
        <v>Amount of  2013 Ad Valorem Tax</v>
      </c>
      <c r="D80" s="799"/>
      <c r="E80" s="346">
        <f>E78+E79</f>
        <v>0</v>
      </c>
      <c r="G80" s="1"/>
      <c r="H80" s="1"/>
      <c r="I80" s="1"/>
      <c r="J80" s="1"/>
    </row>
    <row r="81" spans="2:10">
      <c r="B81" s="285" t="s">
        <v>188</v>
      </c>
      <c r="C81" s="347">
        <v>15</v>
      </c>
      <c r="D81" s="84"/>
      <c r="E81" s="84"/>
      <c r="G81" s="803" t="s">
        <v>841</v>
      </c>
      <c r="H81" s="804"/>
      <c r="I81" s="804"/>
      <c r="J81" s="805"/>
    </row>
    <row r="82" spans="2:10">
      <c r="G82" s="666"/>
      <c r="H82" s="667"/>
      <c r="I82" s="668"/>
      <c r="J82" s="669"/>
    </row>
    <row r="83" spans="2:10">
      <c r="G83" s="670" t="str">
        <f>summ!H30</f>
        <v xml:space="preserve">  </v>
      </c>
      <c r="H83" s="667" t="str">
        <f>CONCATENATE("",E1," Fund Mill Rate")</f>
        <v>2014 Fund Mill Rate</v>
      </c>
      <c r="I83" s="668"/>
      <c r="J83" s="669"/>
    </row>
    <row r="84" spans="2:10">
      <c r="G84" s="671" t="str">
        <f>summ!E30</f>
        <v xml:space="preserve">  </v>
      </c>
      <c r="H84" s="667" t="str">
        <f>CONCATENATE("",E1-1," Fund Mill Rate")</f>
        <v>2013 Fund Mill Rate</v>
      </c>
      <c r="I84" s="668"/>
      <c r="J84" s="669"/>
    </row>
    <row r="85" spans="2:10">
      <c r="G85" s="672">
        <f>summ!H61</f>
        <v>56.5124</v>
      </c>
      <c r="H85" s="667" t="str">
        <f>CONCATENATE("Total ",E1," Mill Rate")</f>
        <v>Total 2014 Mill Rate</v>
      </c>
      <c r="I85" s="668"/>
      <c r="J85" s="669"/>
    </row>
    <row r="86" spans="2:10">
      <c r="G86" s="671">
        <f>summ!E61</f>
        <v>63.972000000000008</v>
      </c>
      <c r="H86" s="673" t="str">
        <f>CONCATENATE("Total ",E1-1," Mill Rate")</f>
        <v>Total 2013 Mill Rate</v>
      </c>
      <c r="I86" s="674"/>
      <c r="J86" s="675"/>
    </row>
    <row r="91" spans="2:10" hidden="1">
      <c r="C91" s="71" t="str">
        <f>IF(C33&gt;C35,"See Tab A","")</f>
        <v/>
      </c>
      <c r="D91" s="71" t="str">
        <f>IF(D33&gt;D35,"See Tab C","")</f>
        <v/>
      </c>
    </row>
    <row r="92" spans="2:10" hidden="1">
      <c r="C92" s="71" t="str">
        <f>IF(C34&lt;0,"See Tab B","")</f>
        <v/>
      </c>
      <c r="D92" s="71" t="str">
        <f>IF(D34&lt;0,"See Tab D","")</f>
        <v/>
      </c>
    </row>
    <row r="93" spans="2:10" hidden="1">
      <c r="C93" s="71" t="str">
        <f>IF(C73&gt;C75,"See Tab A","")</f>
        <v/>
      </c>
      <c r="D93" s="71" t="str">
        <f>IF(D73&gt;D75,"See Tab C","")</f>
        <v/>
      </c>
    </row>
    <row r="94" spans="2:10" hidden="1">
      <c r="C94" s="71" t="str">
        <f>IF(C74&lt;0,"See Tab B","")</f>
        <v/>
      </c>
      <c r="D94" s="71" t="str">
        <f>IF(D74&lt;0,"See Tab D","")</f>
        <v/>
      </c>
    </row>
  </sheetData>
  <sheetProtection sheet="1"/>
  <mergeCells count="12">
    <mergeCell ref="G81:J81"/>
    <mergeCell ref="G24:J24"/>
    <mergeCell ref="G31:J31"/>
    <mergeCell ref="G41:J41"/>
    <mergeCell ref="G64:J64"/>
    <mergeCell ref="G71:J71"/>
    <mergeCell ref="C36:D36"/>
    <mergeCell ref="C37:D37"/>
    <mergeCell ref="C76:D76"/>
    <mergeCell ref="C77:D77"/>
    <mergeCell ref="C80:D80"/>
    <mergeCell ref="C40:D40"/>
  </mergeCells>
  <phoneticPr fontId="0" type="noConversion"/>
  <conditionalFormatting sqref="E71">
    <cfRule type="cellIs" dxfId="272" priority="3" stopIfTrue="1" operator="greaterThan">
      <formula>$E$73*0.1</formula>
    </cfRule>
  </conditionalFormatting>
  <conditionalFormatting sqref="E76">
    <cfRule type="cellIs" dxfId="271" priority="4" stopIfTrue="1" operator="greaterThan">
      <formula>$E$73/0.95-$E$73</formula>
    </cfRule>
  </conditionalFormatting>
  <conditionalFormatting sqref="E36">
    <cfRule type="cellIs" dxfId="270" priority="5" stopIfTrue="1" operator="greaterThan">
      <formula>$E$33/0.95-$E$33</formula>
    </cfRule>
  </conditionalFormatting>
  <conditionalFormatting sqref="E31">
    <cfRule type="cellIs" dxfId="269" priority="6" stopIfTrue="1" operator="greaterThan">
      <formula>$E$33*0.1</formula>
    </cfRule>
  </conditionalFormatting>
  <conditionalFormatting sqref="C74 C34">
    <cfRule type="cellIs" dxfId="268" priority="7" stopIfTrue="1" operator="lessThan">
      <formula>0</formula>
    </cfRule>
  </conditionalFormatting>
  <conditionalFormatting sqref="C73">
    <cfRule type="cellIs" dxfId="267" priority="8" stopIfTrue="1" operator="greaterThan">
      <formula>$C$75</formula>
    </cfRule>
  </conditionalFormatting>
  <conditionalFormatting sqref="D73">
    <cfRule type="cellIs" dxfId="266" priority="9" stopIfTrue="1" operator="greaterThan">
      <formula>$D$75</formula>
    </cfRule>
  </conditionalFormatting>
  <conditionalFormatting sqref="C71">
    <cfRule type="cellIs" dxfId="265" priority="10" stopIfTrue="1" operator="greaterThan">
      <formula>$C$73*0.1</formula>
    </cfRule>
  </conditionalFormatting>
  <conditionalFormatting sqref="D71">
    <cfRule type="cellIs" dxfId="264" priority="11" stopIfTrue="1" operator="greaterThan">
      <formula>$D$73*0.1</formula>
    </cfRule>
  </conditionalFormatting>
  <conditionalFormatting sqref="E58">
    <cfRule type="cellIs" dxfId="263" priority="12" stopIfTrue="1" operator="greaterThan">
      <formula>$E$60*0.1+E80</formula>
    </cfRule>
  </conditionalFormatting>
  <conditionalFormatting sqref="C58">
    <cfRule type="cellIs" dxfId="262" priority="13" stopIfTrue="1" operator="greaterThan">
      <formula>$C$60*0.1</formula>
    </cfRule>
  </conditionalFormatting>
  <conditionalFormatting sqref="D58">
    <cfRule type="cellIs" dxfId="261" priority="14" stopIfTrue="1" operator="greaterThan">
      <formula>$D$60*0.1</formula>
    </cfRule>
  </conditionalFormatting>
  <conditionalFormatting sqref="C33">
    <cfRule type="cellIs" dxfId="260" priority="15" stopIfTrue="1" operator="greaterThan">
      <formula>$C$35</formula>
    </cfRule>
  </conditionalFormatting>
  <conditionalFormatting sqref="D33">
    <cfRule type="cellIs" dxfId="259" priority="16" stopIfTrue="1" operator="greaterThan">
      <formula>$D$35</formula>
    </cfRule>
  </conditionalFormatting>
  <conditionalFormatting sqref="C31">
    <cfRule type="cellIs" dxfId="258" priority="17" stopIfTrue="1" operator="greaterThan">
      <formula>$C$33*0.1</formula>
    </cfRule>
  </conditionalFormatting>
  <conditionalFormatting sqref="D31">
    <cfRule type="cellIs" dxfId="257" priority="18" stopIfTrue="1" operator="greaterThan">
      <formula>$D$33*0.1</formula>
    </cfRule>
  </conditionalFormatting>
  <conditionalFormatting sqref="E18">
    <cfRule type="cellIs" dxfId="256" priority="19" stopIfTrue="1" operator="greaterThan">
      <formula>$E$20*0.1+E40</formula>
    </cfRule>
  </conditionalFormatting>
  <conditionalFormatting sqref="C18">
    <cfRule type="cellIs" dxfId="255" priority="20" stopIfTrue="1" operator="greaterThan">
      <formula>$C$20*0.1</formula>
    </cfRule>
  </conditionalFormatting>
  <conditionalFormatting sqref="D18">
    <cfRule type="cellIs" dxfId="254" priority="21" stopIfTrue="1" operator="greaterThan">
      <formula>$D$20*0.1</formula>
    </cfRule>
  </conditionalFormatting>
  <conditionalFormatting sqref="D34 D74">
    <cfRule type="cellIs" dxfId="253" priority="2" stopIfTrue="1" operator="lessThan">
      <formula>0</formula>
    </cfRule>
  </conditionalFormatting>
  <pageMargins left="1.1200000000000001" right="0.5" top="0.74" bottom="0.34" header="0.5" footer="0"/>
  <pageSetup scale="53" orientation="portrait" blackAndWhite="1" horizontalDpi="120" verticalDpi="144" r:id="rId1"/>
  <headerFooter alignWithMargins="0">
    <oddHeader xml:space="preserve">&amp;RState of Kansas
County
</oddHeader>
  </headerFooter>
</worksheet>
</file>

<file path=xl/worksheets/sheet24.xml><?xml version="1.0" encoding="utf-8"?>
<worksheet xmlns="http://schemas.openxmlformats.org/spreadsheetml/2006/main" xmlns:r="http://schemas.openxmlformats.org/officeDocument/2006/relationships">
  <sheetPr codeName="Sheet19">
    <pageSetUpPr fitToPage="1"/>
  </sheetPr>
  <dimension ref="B1:K94"/>
  <sheetViews>
    <sheetView zoomScaleNormal="100" workbookViewId="0">
      <selection activeCell="F76" sqref="F76"/>
    </sheetView>
  </sheetViews>
  <sheetFormatPr defaultRowHeight="15.75"/>
  <cols>
    <col min="1" max="1" width="2.44140625" style="71" customWidth="1"/>
    <col min="2" max="2" width="31.109375" style="71" customWidth="1"/>
    <col min="3" max="4" width="15.77734375" style="71" customWidth="1"/>
    <col min="5" max="5" width="16.2187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331"/>
      <c r="D3" s="331"/>
      <c r="E3" s="332"/>
    </row>
    <row r="4" spans="2:5">
      <c r="B4" s="83" t="s">
        <v>159</v>
      </c>
      <c r="C4" s="701" t="s">
        <v>842</v>
      </c>
      <c r="D4" s="702" t="s">
        <v>843</v>
      </c>
      <c r="E4" s="214" t="s">
        <v>844</v>
      </c>
    </row>
    <row r="5" spans="2:5">
      <c r="B5" s="482">
        <f>inputPrYr!B31</f>
        <v>0</v>
      </c>
      <c r="C5" s="453" t="str">
        <f>CONCATENATE("Actual for ",E1-2,"")</f>
        <v>Actual for 2012</v>
      </c>
      <c r="D5" s="453" t="str">
        <f>CONCATENATE("Estimate for ",E1-1,"")</f>
        <v>Estimate for 2013</v>
      </c>
      <c r="E5" s="300" t="str">
        <f>CONCATENATE("Year for ",E1,"")</f>
        <v>Year for 2014</v>
      </c>
    </row>
    <row r="6" spans="2:5">
      <c r="B6" s="147" t="s">
        <v>278</v>
      </c>
      <c r="C6" s="450"/>
      <c r="D6" s="454">
        <f>C34</f>
        <v>0</v>
      </c>
      <c r="E6" s="263">
        <f>D34</f>
        <v>0</v>
      </c>
    </row>
    <row r="7" spans="2:5">
      <c r="B7" s="288" t="s">
        <v>280</v>
      </c>
      <c r="C7" s="303"/>
      <c r="D7" s="303"/>
      <c r="E7" s="126"/>
    </row>
    <row r="8" spans="2:5">
      <c r="B8" s="147" t="s">
        <v>160</v>
      </c>
      <c r="C8" s="450"/>
      <c r="D8" s="454">
        <f>IF(inputPrYr!H31&gt;0,inputPrYr!H31,inputPrYr!E31)</f>
        <v>0</v>
      </c>
      <c r="E8" s="335" t="s">
        <v>148</v>
      </c>
    </row>
    <row r="9" spans="2:5">
      <c r="B9" s="147" t="s">
        <v>161</v>
      </c>
      <c r="C9" s="450"/>
      <c r="D9" s="450"/>
      <c r="E9" s="111"/>
    </row>
    <row r="10" spans="2:5">
      <c r="B10" s="147" t="s">
        <v>162</v>
      </c>
      <c r="C10" s="450"/>
      <c r="D10" s="450"/>
      <c r="E10" s="263" t="str">
        <f>mvalloc!E22</f>
        <v xml:space="preserve">  </v>
      </c>
    </row>
    <row r="11" spans="2:5">
      <c r="B11" s="147" t="s">
        <v>163</v>
      </c>
      <c r="C11" s="450"/>
      <c r="D11" s="450"/>
      <c r="E11" s="263" t="str">
        <f>mvalloc!F22</f>
        <v xml:space="preserve">  </v>
      </c>
    </row>
    <row r="12" spans="2:5">
      <c r="B12" s="303" t="s">
        <v>227</v>
      </c>
      <c r="C12" s="450"/>
      <c r="D12" s="450"/>
      <c r="E12" s="263" t="str">
        <f>mvalloc!G22</f>
        <v xml:space="preserve">  </v>
      </c>
    </row>
    <row r="13" spans="2:5">
      <c r="B13" s="316"/>
      <c r="C13" s="450"/>
      <c r="D13" s="450"/>
      <c r="E13" s="111"/>
    </row>
    <row r="14" spans="2:5">
      <c r="B14" s="316"/>
      <c r="C14" s="450"/>
      <c r="D14" s="450"/>
      <c r="E14" s="111"/>
    </row>
    <row r="15" spans="2:5">
      <c r="B15" s="316"/>
      <c r="C15" s="450"/>
      <c r="D15" s="450"/>
      <c r="E15" s="111"/>
    </row>
    <row r="16" spans="2:5">
      <c r="B16" s="316"/>
      <c r="C16" s="450"/>
      <c r="D16" s="450"/>
      <c r="E16" s="111"/>
    </row>
    <row r="17" spans="2:10">
      <c r="B17" s="306" t="s">
        <v>167</v>
      </c>
      <c r="C17" s="450"/>
      <c r="D17" s="450"/>
      <c r="E17" s="111"/>
    </row>
    <row r="18" spans="2:10">
      <c r="B18" s="307" t="s">
        <v>75</v>
      </c>
      <c r="C18" s="450"/>
      <c r="D18" s="450"/>
      <c r="E18" s="111"/>
    </row>
    <row r="19" spans="2:10">
      <c r="B19" s="307" t="s">
        <v>682</v>
      </c>
      <c r="C19" s="451" t="str">
        <f>IF(C20*0.1&lt;C18,"Exceed 10% Rule","")</f>
        <v/>
      </c>
      <c r="D19" s="451" t="str">
        <f>IF(D20*0.1&lt;D18,"Exceed 10% Rule","")</f>
        <v/>
      </c>
      <c r="E19" s="342" t="str">
        <f>IF(E20*0.1+E40&lt;E18,"Exceed 10% Rule","")</f>
        <v/>
      </c>
    </row>
    <row r="20" spans="2:10">
      <c r="B20" s="309" t="s">
        <v>168</v>
      </c>
      <c r="C20" s="452">
        <f>SUM(C8:C18)</f>
        <v>0</v>
      </c>
      <c r="D20" s="452">
        <f>SUM(D8:D18)</f>
        <v>0</v>
      </c>
      <c r="E20" s="350">
        <f>SUM(E8:E18)</f>
        <v>0</v>
      </c>
    </row>
    <row r="21" spans="2:10">
      <c r="B21" s="309" t="s">
        <v>169</v>
      </c>
      <c r="C21" s="452">
        <f>C6+C20</f>
        <v>0</v>
      </c>
      <c r="D21" s="452">
        <f>D6+D20</f>
        <v>0</v>
      </c>
      <c r="E21" s="350">
        <f>E6+E20</f>
        <v>0</v>
      </c>
    </row>
    <row r="22" spans="2:10">
      <c r="B22" s="147" t="s">
        <v>172</v>
      </c>
      <c r="C22" s="307"/>
      <c r="D22" s="307"/>
      <c r="E22" s="107"/>
    </row>
    <row r="23" spans="2:10">
      <c r="B23" s="316"/>
      <c r="C23" s="450"/>
      <c r="D23" s="450"/>
      <c r="E23" s="111"/>
    </row>
    <row r="24" spans="2:10">
      <c r="B24" s="316"/>
      <c r="C24" s="450"/>
      <c r="D24" s="450"/>
      <c r="E24" s="111"/>
      <c r="G24" s="800" t="str">
        <f>CONCATENATE("Desired Carryover Into ",E1+1,"")</f>
        <v>Desired Carryover Into 2015</v>
      </c>
      <c r="H24" s="801"/>
      <c r="I24" s="801"/>
      <c r="J24" s="802"/>
    </row>
    <row r="25" spans="2:10">
      <c r="B25" s="316"/>
      <c r="C25" s="450"/>
      <c r="D25" s="450"/>
      <c r="E25" s="111"/>
      <c r="G25" s="648"/>
      <c r="H25" s="649"/>
      <c r="I25" s="650"/>
      <c r="J25" s="651"/>
    </row>
    <row r="26" spans="2:10">
      <c r="B26" s="316"/>
      <c r="C26" s="450"/>
      <c r="D26" s="450"/>
      <c r="E26" s="111"/>
      <c r="G26" s="652" t="s">
        <v>688</v>
      </c>
      <c r="H26" s="650"/>
      <c r="I26" s="650"/>
      <c r="J26" s="653">
        <v>0</v>
      </c>
    </row>
    <row r="27" spans="2:10">
      <c r="B27" s="316"/>
      <c r="C27" s="450"/>
      <c r="D27" s="450"/>
      <c r="E27" s="111"/>
      <c r="G27" s="648" t="s">
        <v>689</v>
      </c>
      <c r="H27" s="649"/>
      <c r="I27" s="649"/>
      <c r="J27" s="654" t="str">
        <f>IF(J26=0,"",ROUND((J26+E40-G39)/inputOth!E6*1000,3)-G44)</f>
        <v/>
      </c>
    </row>
    <row r="28" spans="2:10">
      <c r="B28" s="316"/>
      <c r="C28" s="450"/>
      <c r="D28" s="450"/>
      <c r="E28" s="111"/>
      <c r="G28" s="655" t="str">
        <f>CONCATENATE("",E1," Tot Exp/Non-Appr Must Be:")</f>
        <v>2014 Tot Exp/Non-Appr Must Be:</v>
      </c>
      <c r="H28" s="656"/>
      <c r="I28" s="657"/>
      <c r="J28" s="658">
        <f>IF(J26&gt;0,IF(E37&lt;E21,IF(J26=G39,E37,((J26-G39)*(1-D39))+E21),E37+(J26-G39)),0)</f>
        <v>0</v>
      </c>
    </row>
    <row r="29" spans="2:10">
      <c r="B29" s="316"/>
      <c r="C29" s="450"/>
      <c r="D29" s="450"/>
      <c r="E29" s="111"/>
      <c r="G29" s="659" t="s">
        <v>840</v>
      </c>
      <c r="H29" s="660"/>
      <c r="I29" s="660"/>
      <c r="J29" s="661">
        <f>IF(J26&gt;0,J28-E37,0)</f>
        <v>0</v>
      </c>
    </row>
    <row r="30" spans="2:10">
      <c r="B30" s="307" t="s">
        <v>77</v>
      </c>
      <c r="C30" s="450"/>
      <c r="D30" s="450"/>
      <c r="E30" s="119" t="str">
        <f>Nhood!E21</f>
        <v/>
      </c>
      <c r="G30" s="1"/>
      <c r="H30" s="1"/>
      <c r="I30" s="1"/>
      <c r="J30" s="1"/>
    </row>
    <row r="31" spans="2:10">
      <c r="B31" s="307" t="s">
        <v>75</v>
      </c>
      <c r="C31" s="450"/>
      <c r="D31" s="450"/>
      <c r="E31" s="111"/>
      <c r="G31" s="800" t="str">
        <f>CONCATENATE("Projected Carryover Into ",E1+1,"")</f>
        <v>Projected Carryover Into 2015</v>
      </c>
      <c r="H31" s="807"/>
      <c r="I31" s="807"/>
      <c r="J31" s="808"/>
    </row>
    <row r="32" spans="2:10">
      <c r="B32" s="307" t="s">
        <v>681</v>
      </c>
      <c r="C32" s="451" t="str">
        <f>IF(C33*0.1&lt;C31,"Exceed 10% Rule","")</f>
        <v/>
      </c>
      <c r="D32" s="451" t="str">
        <f>IF(D33*0.1&lt;D31,"Exceed 10% Rule","")</f>
        <v/>
      </c>
      <c r="E32" s="342" t="str">
        <f>IF(E33*0.1&lt;E31,"Exceed 10% Rule","")</f>
        <v/>
      </c>
      <c r="G32" s="648"/>
      <c r="H32" s="650"/>
      <c r="I32" s="650"/>
      <c r="J32" s="676"/>
    </row>
    <row r="33" spans="2:11">
      <c r="B33" s="309" t="s">
        <v>173</v>
      </c>
      <c r="C33" s="452">
        <f>SUM(C23:C31)</f>
        <v>0</v>
      </c>
      <c r="D33" s="452">
        <f>SUM(D23:D31)</f>
        <v>0</v>
      </c>
      <c r="E33" s="350">
        <f>SUM(E23:E31)</f>
        <v>0</v>
      </c>
      <c r="G33" s="677">
        <f>D34</f>
        <v>0</v>
      </c>
      <c r="H33" s="667" t="str">
        <f>CONCATENATE("",E1-1," Ending Cash Balance (est.)")</f>
        <v>2013 Ending Cash Balance (est.)</v>
      </c>
      <c r="I33" s="678"/>
      <c r="J33" s="676"/>
    </row>
    <row r="34" spans="2:11">
      <c r="B34" s="147" t="s">
        <v>279</v>
      </c>
      <c r="C34" s="455">
        <f>C21-C33</f>
        <v>0</v>
      </c>
      <c r="D34" s="455">
        <f>D21-D33</f>
        <v>0</v>
      </c>
      <c r="E34" s="335" t="s">
        <v>148</v>
      </c>
      <c r="G34" s="677">
        <f>E20</f>
        <v>0</v>
      </c>
      <c r="H34" s="650" t="str">
        <f>CONCATENATE("",E1," Non-AV Receipts (est.)")</f>
        <v>2014 Non-AV Receipts (est.)</v>
      </c>
      <c r="I34" s="678"/>
      <c r="J34" s="676"/>
    </row>
    <row r="35" spans="2:11">
      <c r="B35" s="285" t="str">
        <f>CONCATENATE("",E$1-2,"/",E$1-1," Budget Authority Amount:")</f>
        <v>2012/2013 Budget Authority Amount:</v>
      </c>
      <c r="C35" s="277">
        <f>inputOth!B45</f>
        <v>0</v>
      </c>
      <c r="D35" s="277">
        <f>inputPrYr!D31</f>
        <v>0</v>
      </c>
      <c r="E35" s="335" t="s">
        <v>148</v>
      </c>
      <c r="F35" s="318"/>
      <c r="G35" s="679">
        <f>IF(E39&gt;0,E38,E40)</f>
        <v>0</v>
      </c>
      <c r="H35" s="650" t="str">
        <f>CONCATENATE("",E1," Ad Valorem Tax (est.)")</f>
        <v>2014 Ad Valorem Tax (est.)</v>
      </c>
      <c r="I35" s="678"/>
      <c r="J35" s="676"/>
      <c r="K35" s="664" t="str">
        <f>IF(G35=E40,"","Note: Does not include Delinquent Taxes")</f>
        <v/>
      </c>
    </row>
    <row r="36" spans="2:11">
      <c r="B36" s="285"/>
      <c r="C36" s="790" t="s">
        <v>685</v>
      </c>
      <c r="D36" s="791"/>
      <c r="E36" s="111"/>
      <c r="F36" s="500" t="str">
        <f>IF(E33/0.95-E33&lt;E36,"Exceeds 5%","")</f>
        <v/>
      </c>
      <c r="G36" s="677">
        <f>SUM(G33:G35)</f>
        <v>0</v>
      </c>
      <c r="H36" s="650" t="str">
        <f>CONCATENATE("Total ",E1," Resources Available")</f>
        <v>Total 2014 Resources Available</v>
      </c>
      <c r="I36" s="678"/>
      <c r="J36" s="676"/>
    </row>
    <row r="37" spans="2:11">
      <c r="B37" s="504" t="str">
        <f>CONCATENATE(C91,"     ",D91)</f>
        <v xml:space="preserve">     </v>
      </c>
      <c r="C37" s="792" t="s">
        <v>686</v>
      </c>
      <c r="D37" s="793"/>
      <c r="E37" s="263">
        <f>E33+E36</f>
        <v>0</v>
      </c>
      <c r="G37" s="680"/>
      <c r="H37" s="650"/>
      <c r="I37" s="650"/>
      <c r="J37" s="676"/>
    </row>
    <row r="38" spans="2:11">
      <c r="B38" s="504" t="str">
        <f>CONCATENATE(C92,"     ",D92)</f>
        <v xml:space="preserve">     </v>
      </c>
      <c r="C38" s="319"/>
      <c r="D38" s="238" t="s">
        <v>174</v>
      </c>
      <c r="E38" s="119">
        <f>IF(E37-E21&gt;0,E37-E21,0)</f>
        <v>0</v>
      </c>
      <c r="G38" s="679">
        <f>ROUND(C33*0.05+C33,0)</f>
        <v>0</v>
      </c>
      <c r="H38" s="650" t="str">
        <f>CONCATENATE("Less ",E1-2," Expenditures + 5%")</f>
        <v>Less 2012 Expenditures + 5%</v>
      </c>
      <c r="I38" s="678"/>
      <c r="J38" s="681"/>
    </row>
    <row r="39" spans="2:11">
      <c r="B39" s="238"/>
      <c r="C39" s="502" t="s">
        <v>687</v>
      </c>
      <c r="D39" s="647">
        <f>inputOth!$E$23</f>
        <v>0.03</v>
      </c>
      <c r="E39" s="263">
        <f>ROUND(IF(D39&gt;0,($E$38*D39),0),0)</f>
        <v>0</v>
      </c>
      <c r="G39" s="682">
        <f>G36-G38</f>
        <v>0</v>
      </c>
      <c r="H39" s="683" t="str">
        <f>CONCATENATE("Projected ",E1+1," carryover (est.)")</f>
        <v>Projected 2015 carryover (est.)</v>
      </c>
      <c r="I39" s="684"/>
      <c r="J39" s="685"/>
    </row>
    <row r="40" spans="2:11">
      <c r="B40" s="84"/>
      <c r="C40" s="798" t="str">
        <f>CONCATENATE("Amount of  ",$E$1-1," Ad Valorem Tax")</f>
        <v>Amount of  2013 Ad Valorem Tax</v>
      </c>
      <c r="D40" s="799"/>
      <c r="E40" s="346">
        <f>E38+E39</f>
        <v>0</v>
      </c>
      <c r="G40" s="1"/>
      <c r="H40" s="1"/>
      <c r="I40" s="1"/>
      <c r="J40" s="1"/>
    </row>
    <row r="41" spans="2:11">
      <c r="B41" s="84"/>
      <c r="C41" s="325"/>
      <c r="D41" s="325"/>
      <c r="E41" s="325"/>
      <c r="G41" s="803" t="s">
        <v>841</v>
      </c>
      <c r="H41" s="804"/>
      <c r="I41" s="804"/>
      <c r="J41" s="805"/>
    </row>
    <row r="42" spans="2:11">
      <c r="B42" s="83" t="s">
        <v>159</v>
      </c>
      <c r="C42" s="701" t="str">
        <f t="shared" ref="C42:E43" si="0">C4</f>
        <v xml:space="preserve">Prior Year </v>
      </c>
      <c r="D42" s="702" t="str">
        <f t="shared" si="0"/>
        <v xml:space="preserve">Current Year </v>
      </c>
      <c r="E42" s="214" t="str">
        <f t="shared" si="0"/>
        <v xml:space="preserve">Proposed Budget </v>
      </c>
      <c r="G42" s="666"/>
      <c r="H42" s="667"/>
      <c r="I42" s="668"/>
      <c r="J42" s="669"/>
    </row>
    <row r="43" spans="2:11">
      <c r="B43" s="481">
        <f>inputPrYr!B32</f>
        <v>0</v>
      </c>
      <c r="C43" s="453" t="str">
        <f t="shared" si="0"/>
        <v>Actual for 2012</v>
      </c>
      <c r="D43" s="453" t="str">
        <f t="shared" si="0"/>
        <v>Estimate for 2013</v>
      </c>
      <c r="E43" s="300" t="str">
        <f t="shared" si="0"/>
        <v>Year for 2014</v>
      </c>
      <c r="G43" s="670" t="str">
        <f>summ!H31</f>
        <v xml:space="preserve">  </v>
      </c>
      <c r="H43" s="667" t="str">
        <f>CONCATENATE("",E1," Fund Mill Rate")</f>
        <v>2014 Fund Mill Rate</v>
      </c>
      <c r="I43" s="668"/>
      <c r="J43" s="669"/>
    </row>
    <row r="44" spans="2:11">
      <c r="B44" s="147" t="s">
        <v>278</v>
      </c>
      <c r="C44" s="450"/>
      <c r="D44" s="454">
        <f>C74</f>
        <v>25000</v>
      </c>
      <c r="E44" s="263">
        <f>D74</f>
        <v>34500</v>
      </c>
      <c r="G44" s="671" t="str">
        <f>summ!E31</f>
        <v xml:space="preserve">  </v>
      </c>
      <c r="H44" s="667" t="str">
        <f>CONCATENATE("",E1-1," Fund Mill Rate")</f>
        <v>2013 Fund Mill Rate</v>
      </c>
      <c r="I44" s="668"/>
      <c r="J44" s="669"/>
    </row>
    <row r="45" spans="2:11">
      <c r="B45" s="301" t="s">
        <v>280</v>
      </c>
      <c r="C45" s="303"/>
      <c r="D45" s="303"/>
      <c r="E45" s="126"/>
      <c r="G45" s="672">
        <f>summ!H61</f>
        <v>56.5124</v>
      </c>
      <c r="H45" s="667" t="str">
        <f>CONCATENATE("Total ",E1," Mill Rate")</f>
        <v>Total 2014 Mill Rate</v>
      </c>
      <c r="I45" s="668"/>
      <c r="J45" s="669"/>
    </row>
    <row r="46" spans="2:11">
      <c r="B46" s="147" t="s">
        <v>160</v>
      </c>
      <c r="C46" s="450"/>
      <c r="D46" s="454">
        <f>IF(inputPrYr!H32&gt;0,inputPrYr!H32,inputPrYr!E32)</f>
        <v>0</v>
      </c>
      <c r="E46" s="335" t="s">
        <v>148</v>
      </c>
      <c r="G46" s="671">
        <f>summ!E61</f>
        <v>63.972000000000008</v>
      </c>
      <c r="H46" s="673" t="str">
        <f>CONCATENATE("Total ",E1-1," Mill Rate")</f>
        <v>Total 2013 Mill Rate</v>
      </c>
      <c r="I46" s="674"/>
      <c r="J46" s="675"/>
    </row>
    <row r="47" spans="2:11">
      <c r="B47" s="147" t="s">
        <v>161</v>
      </c>
      <c r="C47" s="450"/>
      <c r="D47" s="450"/>
      <c r="E47" s="111"/>
      <c r="G47" s="1"/>
      <c r="H47" s="1"/>
      <c r="I47" s="1"/>
      <c r="J47" s="1"/>
    </row>
    <row r="48" spans="2:11">
      <c r="B48" s="147" t="s">
        <v>162</v>
      </c>
      <c r="C48" s="450"/>
      <c r="D48" s="450"/>
      <c r="E48" s="263" t="str">
        <f>mvalloc!E23</f>
        <v xml:space="preserve">  </v>
      </c>
      <c r="G48" s="1"/>
      <c r="H48" s="1"/>
      <c r="I48" s="1"/>
      <c r="J48" s="1"/>
    </row>
    <row r="49" spans="2:10">
      <c r="B49" s="147" t="s">
        <v>163</v>
      </c>
      <c r="C49" s="450"/>
      <c r="D49" s="450"/>
      <c r="E49" s="263" t="str">
        <f>mvalloc!F23</f>
        <v xml:space="preserve">  </v>
      </c>
      <c r="G49" s="1"/>
      <c r="H49" s="1"/>
      <c r="I49" s="1"/>
      <c r="J49" s="1"/>
    </row>
    <row r="50" spans="2:10">
      <c r="B50" s="303" t="s">
        <v>227</v>
      </c>
      <c r="C50" s="450"/>
      <c r="D50" s="450"/>
      <c r="E50" s="263" t="str">
        <f>mvalloc!G23</f>
        <v xml:space="preserve">  </v>
      </c>
      <c r="G50" s="1"/>
      <c r="H50" s="1"/>
      <c r="I50" s="1"/>
      <c r="J50" s="1"/>
    </row>
    <row r="51" spans="2:10">
      <c r="B51" s="316"/>
      <c r="C51" s="450"/>
      <c r="D51" s="450"/>
      <c r="E51" s="111"/>
      <c r="G51" s="1"/>
      <c r="H51" s="1"/>
      <c r="I51" s="1"/>
      <c r="J51" s="1"/>
    </row>
    <row r="52" spans="2:10">
      <c r="B52" s="316"/>
      <c r="C52" s="450"/>
      <c r="D52" s="450"/>
      <c r="E52" s="111"/>
      <c r="G52" s="1"/>
      <c r="H52" s="1"/>
      <c r="I52" s="1"/>
      <c r="J52" s="1"/>
    </row>
    <row r="53" spans="2:10">
      <c r="B53" s="316"/>
      <c r="C53" s="450"/>
      <c r="D53" s="450"/>
      <c r="E53" s="111"/>
      <c r="G53" s="1"/>
      <c r="H53" s="1"/>
      <c r="I53" s="1"/>
      <c r="J53" s="1"/>
    </row>
    <row r="54" spans="2:10">
      <c r="B54" s="316"/>
      <c r="C54" s="450">
        <v>25000</v>
      </c>
      <c r="D54" s="450">
        <v>9500</v>
      </c>
      <c r="E54" s="111"/>
      <c r="G54" s="1"/>
      <c r="H54" s="1"/>
      <c r="I54" s="1"/>
      <c r="J54" s="1"/>
    </row>
    <row r="55" spans="2:10">
      <c r="B55" s="316"/>
      <c r="C55" s="450"/>
      <c r="D55" s="450"/>
      <c r="E55" s="111"/>
      <c r="G55" s="1"/>
      <c r="H55" s="1"/>
      <c r="I55" s="1"/>
      <c r="J55" s="1"/>
    </row>
    <row r="56" spans="2:10">
      <c r="B56" s="316"/>
      <c r="C56" s="450"/>
      <c r="D56" s="450"/>
      <c r="E56" s="111"/>
      <c r="G56" s="1"/>
      <c r="H56" s="1"/>
      <c r="I56" s="1"/>
      <c r="J56" s="1"/>
    </row>
    <row r="57" spans="2:10">
      <c r="B57" s="306" t="s">
        <v>167</v>
      </c>
      <c r="C57" s="450"/>
      <c r="D57" s="450"/>
      <c r="E57" s="111"/>
      <c r="G57" s="1"/>
      <c r="H57" s="1"/>
      <c r="I57" s="1"/>
      <c r="J57" s="1"/>
    </row>
    <row r="58" spans="2:10">
      <c r="B58" s="307" t="s">
        <v>75</v>
      </c>
      <c r="C58" s="450"/>
      <c r="D58" s="450"/>
      <c r="E58" s="111"/>
      <c r="G58" s="1"/>
      <c r="H58" s="1"/>
      <c r="I58" s="1"/>
      <c r="J58" s="1"/>
    </row>
    <row r="59" spans="2:10">
      <c r="B59" s="307" t="s">
        <v>682</v>
      </c>
      <c r="C59" s="451" t="str">
        <f>IF(C60*0.1&lt;C58,"Exceed 10% Rule","")</f>
        <v/>
      </c>
      <c r="D59" s="451" t="str">
        <f>IF(D60*0.1&lt;D58,"Exceed 10% Rule","")</f>
        <v/>
      </c>
      <c r="E59" s="342" t="str">
        <f>IF(E60*0.1+E80&lt;E58,"Exceed 10% Rule","")</f>
        <v/>
      </c>
      <c r="G59" s="1"/>
      <c r="H59" s="1"/>
      <c r="I59" s="1"/>
      <c r="J59" s="1"/>
    </row>
    <row r="60" spans="2:10">
      <c r="B60" s="309" t="s">
        <v>168</v>
      </c>
      <c r="C60" s="452">
        <f>SUM(C46:C58)</f>
        <v>25000</v>
      </c>
      <c r="D60" s="452">
        <f>SUM(D46:D58)</f>
        <v>9500</v>
      </c>
      <c r="E60" s="350">
        <f>SUM(E46:E58)</f>
        <v>0</v>
      </c>
      <c r="G60" s="1"/>
      <c r="H60" s="1"/>
      <c r="I60" s="1"/>
      <c r="J60" s="1"/>
    </row>
    <row r="61" spans="2:10">
      <c r="B61" s="309" t="s">
        <v>169</v>
      </c>
      <c r="C61" s="452">
        <f>C44+C60</f>
        <v>25000</v>
      </c>
      <c r="D61" s="452">
        <f>D44+D60</f>
        <v>34500</v>
      </c>
      <c r="E61" s="350">
        <f>E44+E60</f>
        <v>34500</v>
      </c>
      <c r="G61" s="1"/>
      <c r="H61" s="1"/>
      <c r="I61" s="1"/>
      <c r="J61" s="1"/>
    </row>
    <row r="62" spans="2:10">
      <c r="B62" s="147" t="s">
        <v>172</v>
      </c>
      <c r="C62" s="307"/>
      <c r="D62" s="307"/>
      <c r="E62" s="107"/>
      <c r="G62" s="1"/>
      <c r="H62" s="1"/>
      <c r="I62" s="1"/>
      <c r="J62" s="1"/>
    </row>
    <row r="63" spans="2:10">
      <c r="B63" s="316"/>
      <c r="C63" s="450"/>
      <c r="D63" s="450"/>
      <c r="E63" s="111"/>
      <c r="G63" s="1"/>
      <c r="H63" s="1"/>
      <c r="I63" s="1"/>
      <c r="J63" s="1"/>
    </row>
    <row r="64" spans="2:10">
      <c r="B64" s="316"/>
      <c r="C64" s="450"/>
      <c r="D64" s="450"/>
      <c r="E64" s="111"/>
      <c r="G64" s="800" t="str">
        <f>CONCATENATE("Desired Carryover Into ",E1+1,"")</f>
        <v>Desired Carryover Into 2015</v>
      </c>
      <c r="H64" s="801"/>
      <c r="I64" s="801"/>
      <c r="J64" s="802"/>
    </row>
    <row r="65" spans="2:11">
      <c r="B65" s="316"/>
      <c r="C65" s="450"/>
      <c r="D65" s="450"/>
      <c r="E65" s="111"/>
      <c r="G65" s="648"/>
      <c r="H65" s="649"/>
      <c r="I65" s="650"/>
      <c r="J65" s="651"/>
    </row>
    <row r="66" spans="2:11">
      <c r="B66" s="316"/>
      <c r="C66" s="450"/>
      <c r="D66" s="450"/>
      <c r="E66" s="111"/>
      <c r="G66" s="652" t="s">
        <v>688</v>
      </c>
      <c r="H66" s="650"/>
      <c r="I66" s="650"/>
      <c r="J66" s="653">
        <v>0</v>
      </c>
    </row>
    <row r="67" spans="2:11">
      <c r="B67" s="316"/>
      <c r="C67" s="450"/>
      <c r="D67" s="450"/>
      <c r="E67" s="111"/>
      <c r="G67" s="648" t="s">
        <v>689</v>
      </c>
      <c r="H67" s="649"/>
      <c r="I67" s="649"/>
      <c r="J67" s="654" t="str">
        <f>IF(J66=0,"",ROUND((J66+E80-G79)/inputOth!E6*1000,3)-G84)</f>
        <v/>
      </c>
    </row>
    <row r="68" spans="2:11">
      <c r="B68" s="316"/>
      <c r="C68" s="450"/>
      <c r="D68" s="450"/>
      <c r="E68" s="111"/>
      <c r="G68" s="655" t="str">
        <f>CONCATENATE("",E1," Tot Exp/Non-Appr Must Be:")</f>
        <v>2014 Tot Exp/Non-Appr Must Be:</v>
      </c>
      <c r="H68" s="656"/>
      <c r="I68" s="657"/>
      <c r="J68" s="658">
        <f>IF(J66&gt;0,IF(E77&lt;E61,IF(J66=G79,E77,((J66-G79)*(1-D79))+E61),E77+(J66-G79)),0)</f>
        <v>0</v>
      </c>
    </row>
    <row r="69" spans="2:11">
      <c r="B69" s="316"/>
      <c r="C69" s="450"/>
      <c r="D69" s="450"/>
      <c r="E69" s="111"/>
      <c r="G69" s="659" t="s">
        <v>840</v>
      </c>
      <c r="H69" s="660"/>
      <c r="I69" s="660"/>
      <c r="J69" s="661">
        <f>IF(J66&gt;0,J68-E77,0)</f>
        <v>0</v>
      </c>
    </row>
    <row r="70" spans="2:11">
      <c r="B70" s="307" t="s">
        <v>77</v>
      </c>
      <c r="C70" s="450"/>
      <c r="D70" s="450"/>
      <c r="E70" s="119" t="str">
        <f>Nhood!E22</f>
        <v/>
      </c>
      <c r="G70" s="1"/>
      <c r="H70" s="1"/>
      <c r="I70" s="1"/>
      <c r="J70" s="1"/>
    </row>
    <row r="71" spans="2:11">
      <c r="B71" s="307" t="s">
        <v>75</v>
      </c>
      <c r="C71" s="450"/>
      <c r="D71" s="450"/>
      <c r="E71" s="111"/>
      <c r="G71" s="800" t="str">
        <f>CONCATENATE("Projected Carryover Into ",E1+1,"")</f>
        <v>Projected Carryover Into 2015</v>
      </c>
      <c r="H71" s="809"/>
      <c r="I71" s="809"/>
      <c r="J71" s="808"/>
    </row>
    <row r="72" spans="2:11">
      <c r="B72" s="307" t="s">
        <v>681</v>
      </c>
      <c r="C72" s="451" t="str">
        <f>IF(C73*0.1&lt;C71,"Exceed 10% Rule","")</f>
        <v/>
      </c>
      <c r="D72" s="451" t="str">
        <f>IF(D73*0.1&lt;D71,"Exceed 10% Rule","")</f>
        <v/>
      </c>
      <c r="E72" s="342" t="str">
        <f>IF(E73*0.1&lt;E71,"Exceed 10% Rule","")</f>
        <v/>
      </c>
      <c r="G72" s="686"/>
      <c r="H72" s="649"/>
      <c r="I72" s="649"/>
      <c r="J72" s="681"/>
    </row>
    <row r="73" spans="2:11">
      <c r="B73" s="309" t="s">
        <v>173</v>
      </c>
      <c r="C73" s="452">
        <f>SUM(C63:C71)</f>
        <v>0</v>
      </c>
      <c r="D73" s="452">
        <f>SUM(D63:D71)</f>
        <v>0</v>
      </c>
      <c r="E73" s="350">
        <f>SUM(E63:E71)</f>
        <v>0</v>
      </c>
      <c r="G73" s="677">
        <f>D74</f>
        <v>34500</v>
      </c>
      <c r="H73" s="667" t="str">
        <f>CONCATENATE("",E1-1," Ending Cash Balance (est.)")</f>
        <v>2013 Ending Cash Balance (est.)</v>
      </c>
      <c r="I73" s="678"/>
      <c r="J73" s="681"/>
    </row>
    <row r="74" spans="2:11">
      <c r="B74" s="147" t="s">
        <v>279</v>
      </c>
      <c r="C74" s="455">
        <f>C61-C73</f>
        <v>25000</v>
      </c>
      <c r="D74" s="455">
        <f>D61-D73</f>
        <v>34500</v>
      </c>
      <c r="E74" s="335" t="s">
        <v>148</v>
      </c>
      <c r="G74" s="677">
        <f>E60</f>
        <v>0</v>
      </c>
      <c r="H74" s="650" t="str">
        <f>CONCATENATE("",E1," Non-AV Receipts (est.)")</f>
        <v>2014 Non-AV Receipts (est.)</v>
      </c>
      <c r="I74" s="678"/>
      <c r="J74" s="681"/>
    </row>
    <row r="75" spans="2:11">
      <c r="B75" s="285" t="str">
        <f>CONCATENATE("",E$1-2,"/",E$1-1," Budget Authority Amount:")</f>
        <v>2012/2013 Budget Authority Amount:</v>
      </c>
      <c r="C75" s="277">
        <f>inputOth!B46</f>
        <v>0</v>
      </c>
      <c r="D75" s="277">
        <f>inputPrYr!D32</f>
        <v>0</v>
      </c>
      <c r="E75" s="335" t="s">
        <v>148</v>
      </c>
      <c r="F75" s="318"/>
      <c r="G75" s="679">
        <f>IF(E79&gt;0,E78,E80)</f>
        <v>0</v>
      </c>
      <c r="H75" s="650" t="str">
        <f>CONCATENATE("",E1," Ad Valorem Tax (est.)")</f>
        <v>2014 Ad Valorem Tax (est.)</v>
      </c>
      <c r="I75" s="678"/>
      <c r="J75" s="681"/>
      <c r="K75" s="664" t="str">
        <f>IF(G75=E80,"","Note: Does not include Delinquent Taxes")</f>
        <v/>
      </c>
    </row>
    <row r="76" spans="2:11">
      <c r="B76" s="285"/>
      <c r="C76" s="790" t="s">
        <v>685</v>
      </c>
      <c r="D76" s="791"/>
      <c r="E76" s="111"/>
      <c r="F76" s="500" t="str">
        <f>IF(E73/0.95-E73&lt;E76,"Exceeds 5%","")</f>
        <v/>
      </c>
      <c r="G76" s="687">
        <f>SUM(G73:G75)</f>
        <v>34500</v>
      </c>
      <c r="H76" s="650" t="str">
        <f>CONCATENATE("Total ",E1," Resources Available")</f>
        <v>Total 2014 Resources Available</v>
      </c>
      <c r="I76" s="688"/>
      <c r="J76" s="681"/>
    </row>
    <row r="77" spans="2:11">
      <c r="B77" s="503" t="str">
        <f>CONCATENATE(C93,"     ",D93)</f>
        <v xml:space="preserve">     </v>
      </c>
      <c r="C77" s="792" t="s">
        <v>686</v>
      </c>
      <c r="D77" s="793"/>
      <c r="E77" s="263">
        <f>E73+E76</f>
        <v>0</v>
      </c>
      <c r="G77" s="689"/>
      <c r="H77" s="690"/>
      <c r="I77" s="649"/>
      <c r="J77" s="681"/>
    </row>
    <row r="78" spans="2:11">
      <c r="B78" s="503" t="str">
        <f>CONCATENATE(C94,"     ",D94)</f>
        <v xml:space="preserve">     </v>
      </c>
      <c r="C78" s="319"/>
      <c r="D78" s="238" t="s">
        <v>174</v>
      </c>
      <c r="E78" s="119">
        <f>IF(E77-E61&gt;0,E77-E61,0)</f>
        <v>0</v>
      </c>
      <c r="G78" s="691">
        <f>ROUND(C73*0.05+C73,0)</f>
        <v>0</v>
      </c>
      <c r="H78" s="650" t="str">
        <f>CONCATENATE("Less ",E1-2," Expenditures + 5%")</f>
        <v>Less 2012 Expenditures + 5%</v>
      </c>
      <c r="I78" s="688"/>
      <c r="J78" s="681"/>
    </row>
    <row r="79" spans="2:11">
      <c r="B79" s="238"/>
      <c r="C79" s="502" t="s">
        <v>687</v>
      </c>
      <c r="D79" s="647">
        <f>inputOth!$E$23</f>
        <v>0.03</v>
      </c>
      <c r="E79" s="263">
        <f>ROUND(IF(D79&gt;0,($E$78*D79),0),0)</f>
        <v>0</v>
      </c>
      <c r="G79" s="692">
        <f>G76-G78</f>
        <v>34500</v>
      </c>
      <c r="H79" s="683" t="str">
        <f>CONCATENATE("Projected ",E1+1," carryover (est.)")</f>
        <v>Projected 2015 carryover (est.)</v>
      </c>
      <c r="I79" s="693"/>
      <c r="J79" s="694"/>
    </row>
    <row r="80" spans="2:11">
      <c r="B80" s="84"/>
      <c r="C80" s="798" t="str">
        <f>CONCATENATE("Amount of  ",$E$1-1," Ad Valorem Tax")</f>
        <v>Amount of  2013 Ad Valorem Tax</v>
      </c>
      <c r="D80" s="799"/>
      <c r="E80" s="346">
        <f>E78+E79</f>
        <v>0</v>
      </c>
      <c r="G80" s="1"/>
      <c r="H80" s="1"/>
      <c r="I80" s="1"/>
      <c r="J80" s="1"/>
    </row>
    <row r="81" spans="2:10">
      <c r="B81" s="285" t="s">
        <v>188</v>
      </c>
      <c r="C81" s="347"/>
      <c r="D81" s="84"/>
      <c r="E81" s="84"/>
      <c r="G81" s="803" t="s">
        <v>841</v>
      </c>
      <c r="H81" s="804"/>
      <c r="I81" s="804"/>
      <c r="J81" s="805"/>
    </row>
    <row r="82" spans="2:10">
      <c r="G82" s="666"/>
      <c r="H82" s="667"/>
      <c r="I82" s="668"/>
      <c r="J82" s="669"/>
    </row>
    <row r="83" spans="2:10">
      <c r="G83" s="670" t="str">
        <f>summ!H32</f>
        <v xml:space="preserve">  </v>
      </c>
      <c r="H83" s="667" t="str">
        <f>CONCATENATE("",E1," Fund Mill Rate")</f>
        <v>2014 Fund Mill Rate</v>
      </c>
      <c r="I83" s="668"/>
      <c r="J83" s="669"/>
    </row>
    <row r="84" spans="2:10">
      <c r="G84" s="671" t="str">
        <f>summ!E32</f>
        <v xml:space="preserve">  </v>
      </c>
      <c r="H84" s="667" t="str">
        <f>CONCATENATE("",E1-1," Fund Mill Rate")</f>
        <v>2013 Fund Mill Rate</v>
      </c>
      <c r="I84" s="668"/>
      <c r="J84" s="669"/>
    </row>
    <row r="85" spans="2:10">
      <c r="G85" s="672">
        <f>summ!H61</f>
        <v>56.5124</v>
      </c>
      <c r="H85" s="667" t="str">
        <f>CONCATENATE("Total ",E1," Mill Rate")</f>
        <v>Total 2014 Mill Rate</v>
      </c>
      <c r="I85" s="668"/>
      <c r="J85" s="669"/>
    </row>
    <row r="86" spans="2:10">
      <c r="G86" s="671">
        <f>summ!E61</f>
        <v>63.972000000000008</v>
      </c>
      <c r="H86" s="673" t="str">
        <f>CONCATENATE("Total ",E1-1," Mill Rate")</f>
        <v>Total 2013 Mill Rate</v>
      </c>
      <c r="I86" s="674"/>
      <c r="J86" s="675"/>
    </row>
    <row r="91" spans="2:10" hidden="1">
      <c r="C91" s="71" t="str">
        <f>IF(C33&gt;C35,"See Tab A","")</f>
        <v/>
      </c>
      <c r="D91" s="71" t="str">
        <f>IF(D33&gt;D35,"See Tab C","")</f>
        <v/>
      </c>
    </row>
    <row r="92" spans="2:10" hidden="1">
      <c r="C92" s="71" t="str">
        <f>IF(C34&lt;0,"See Tab B","")</f>
        <v/>
      </c>
      <c r="D92" s="71" t="str">
        <f>IF(D34&lt;0,"See Tab D","")</f>
        <v/>
      </c>
    </row>
    <row r="93" spans="2:10" hidden="1">
      <c r="C93" s="71" t="str">
        <f>IF(C73&gt;C75,"See Tab A","")</f>
        <v/>
      </c>
      <c r="D93" s="71" t="str">
        <f>IF(D73&gt;D75,"See Tab C","")</f>
        <v/>
      </c>
    </row>
    <row r="94" spans="2:10" hidden="1">
      <c r="C94" s="71" t="str">
        <f>IF(C74&lt;0,"See Tab B","")</f>
        <v/>
      </c>
      <c r="D94" s="71" t="str">
        <f>IF(D74&lt;0,"See Tab D","")</f>
        <v/>
      </c>
    </row>
  </sheetData>
  <sheetProtection sheet="1"/>
  <mergeCells count="12">
    <mergeCell ref="G81:J81"/>
    <mergeCell ref="G24:J24"/>
    <mergeCell ref="G31:J31"/>
    <mergeCell ref="G41:J41"/>
    <mergeCell ref="G64:J64"/>
    <mergeCell ref="G71:J71"/>
    <mergeCell ref="C36:D36"/>
    <mergeCell ref="C37:D37"/>
    <mergeCell ref="C76:D76"/>
    <mergeCell ref="C77:D77"/>
    <mergeCell ref="C80:D80"/>
    <mergeCell ref="C40:D40"/>
  </mergeCells>
  <phoneticPr fontId="0" type="noConversion"/>
  <conditionalFormatting sqref="E71">
    <cfRule type="cellIs" dxfId="252" priority="3" stopIfTrue="1" operator="greaterThan">
      <formula>$E$73*0.1</formula>
    </cfRule>
  </conditionalFormatting>
  <conditionalFormatting sqref="E76">
    <cfRule type="cellIs" dxfId="251" priority="4" stopIfTrue="1" operator="greaterThan">
      <formula>$E$73/0.95-$E$73</formula>
    </cfRule>
  </conditionalFormatting>
  <conditionalFormatting sqref="E36">
    <cfRule type="cellIs" dxfId="250" priority="5" stopIfTrue="1" operator="greaterThan">
      <formula>$E$33/0.95-$E$33</formula>
    </cfRule>
  </conditionalFormatting>
  <conditionalFormatting sqref="E31">
    <cfRule type="cellIs" dxfId="249" priority="6" stopIfTrue="1" operator="greaterThan">
      <formula>$E$33*0.1</formula>
    </cfRule>
  </conditionalFormatting>
  <conditionalFormatting sqref="C74 C34">
    <cfRule type="cellIs" dxfId="248" priority="7" stopIfTrue="1" operator="lessThan">
      <formula>0</formula>
    </cfRule>
  </conditionalFormatting>
  <conditionalFormatting sqref="C73">
    <cfRule type="cellIs" dxfId="247" priority="8" stopIfTrue="1" operator="greaterThan">
      <formula>$C$75</formula>
    </cfRule>
  </conditionalFormatting>
  <conditionalFormatting sqref="D73">
    <cfRule type="cellIs" dxfId="246" priority="9" stopIfTrue="1" operator="greaterThan">
      <formula>$D$75</formula>
    </cfRule>
  </conditionalFormatting>
  <conditionalFormatting sqref="C71">
    <cfRule type="cellIs" dxfId="245" priority="10" stopIfTrue="1" operator="greaterThan">
      <formula>$C$73*0.1</formula>
    </cfRule>
  </conditionalFormatting>
  <conditionalFormatting sqref="D71">
    <cfRule type="cellIs" dxfId="244" priority="11" stopIfTrue="1" operator="greaterThan">
      <formula>$D$73*0.1</formula>
    </cfRule>
  </conditionalFormatting>
  <conditionalFormatting sqref="E58">
    <cfRule type="cellIs" dxfId="243" priority="12" stopIfTrue="1" operator="greaterThan">
      <formula>$E$60*0.1+E80</formula>
    </cfRule>
  </conditionalFormatting>
  <conditionalFormatting sqref="C58">
    <cfRule type="cellIs" dxfId="242" priority="13" stopIfTrue="1" operator="greaterThan">
      <formula>$C$60*0.1</formula>
    </cfRule>
  </conditionalFormatting>
  <conditionalFormatting sqref="D58">
    <cfRule type="cellIs" dxfId="241" priority="14" stopIfTrue="1" operator="greaterThan">
      <formula>$D$60*0.1</formula>
    </cfRule>
  </conditionalFormatting>
  <conditionalFormatting sqref="C33">
    <cfRule type="cellIs" dxfId="240" priority="15" stopIfTrue="1" operator="greaterThan">
      <formula>$C$35</formula>
    </cfRule>
  </conditionalFormatting>
  <conditionalFormatting sqref="D33">
    <cfRule type="cellIs" dxfId="239" priority="16" stopIfTrue="1" operator="greaterThan">
      <formula>$D$35</formula>
    </cfRule>
  </conditionalFormatting>
  <conditionalFormatting sqref="C31">
    <cfRule type="cellIs" dxfId="238" priority="17" stopIfTrue="1" operator="greaterThan">
      <formula>$C$33*0.1</formula>
    </cfRule>
  </conditionalFormatting>
  <conditionalFormatting sqref="D31">
    <cfRule type="cellIs" dxfId="237" priority="18" stopIfTrue="1" operator="greaterThan">
      <formula>$D$33*0.1</formula>
    </cfRule>
  </conditionalFormatting>
  <conditionalFormatting sqref="E18">
    <cfRule type="cellIs" dxfId="236" priority="19" stopIfTrue="1" operator="greaterThan">
      <formula>$E$20*0.1+E40</formula>
    </cfRule>
  </conditionalFormatting>
  <conditionalFormatting sqref="C18">
    <cfRule type="cellIs" dxfId="235" priority="20" stopIfTrue="1" operator="greaterThan">
      <formula>$C$20*0.1</formula>
    </cfRule>
  </conditionalFormatting>
  <conditionalFormatting sqref="D18">
    <cfRule type="cellIs" dxfId="234" priority="21" stopIfTrue="1" operator="greaterThan">
      <formula>$D$20*0.1</formula>
    </cfRule>
  </conditionalFormatting>
  <conditionalFormatting sqref="D34 D74">
    <cfRule type="cellIs" dxfId="233" priority="2" stopIfTrue="1" operator="lessThan">
      <formula>0</formula>
    </cfRule>
  </conditionalFormatting>
  <pageMargins left="1.1200000000000001" right="0.5" top="0.74" bottom="0.34" header="0.5" footer="0"/>
  <pageSetup scale="53" orientation="portrait" blackAndWhite="1" horizontalDpi="120" verticalDpi="144" r:id="rId1"/>
  <headerFooter alignWithMargins="0">
    <oddHeader xml:space="preserve">&amp;RState of Kansas
County
</oddHeader>
  </headerFooter>
</worksheet>
</file>

<file path=xl/worksheets/sheet25.xml><?xml version="1.0" encoding="utf-8"?>
<worksheet xmlns="http://schemas.openxmlformats.org/spreadsheetml/2006/main" xmlns:r="http://schemas.openxmlformats.org/officeDocument/2006/relationships">
  <sheetPr codeName="Sheet20">
    <pageSetUpPr fitToPage="1"/>
  </sheetPr>
  <dimension ref="B1:K94"/>
  <sheetViews>
    <sheetView zoomScaleNormal="100" workbookViewId="0">
      <selection activeCell="F76" sqref="F76"/>
    </sheetView>
  </sheetViews>
  <sheetFormatPr defaultRowHeight="15.75"/>
  <cols>
    <col min="1" max="1" width="2.44140625" style="71" customWidth="1"/>
    <col min="2" max="2" width="31.109375" style="71" customWidth="1"/>
    <col min="3" max="4" width="15.77734375" style="71" customWidth="1"/>
    <col min="5" max="5" width="16.2187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331"/>
      <c r="D3" s="331"/>
      <c r="E3" s="332"/>
    </row>
    <row r="4" spans="2:5">
      <c r="B4" s="83" t="s">
        <v>159</v>
      </c>
      <c r="C4" s="701" t="s">
        <v>842</v>
      </c>
      <c r="D4" s="702" t="s">
        <v>843</v>
      </c>
      <c r="E4" s="214" t="s">
        <v>844</v>
      </c>
    </row>
    <row r="5" spans="2:5">
      <c r="B5" s="482">
        <f>inputPrYr!B33</f>
        <v>0</v>
      </c>
      <c r="C5" s="453" t="str">
        <f>CONCATENATE("Actual for ",E1-2,"")</f>
        <v>Actual for 2012</v>
      </c>
      <c r="D5" s="453" t="str">
        <f>CONCATENATE("Estimate for ",E1-1,"")</f>
        <v>Estimate for 2013</v>
      </c>
      <c r="E5" s="300" t="str">
        <f>CONCATENATE("Year for ",E1,"")</f>
        <v>Year for 2014</v>
      </c>
    </row>
    <row r="6" spans="2:5">
      <c r="B6" s="147" t="s">
        <v>278</v>
      </c>
      <c r="C6" s="450"/>
      <c r="D6" s="454">
        <f>C34</f>
        <v>0</v>
      </c>
      <c r="E6" s="263">
        <f>D34</f>
        <v>0</v>
      </c>
    </row>
    <row r="7" spans="2:5">
      <c r="B7" s="288" t="s">
        <v>280</v>
      </c>
      <c r="C7" s="303"/>
      <c r="D7" s="303"/>
      <c r="E7" s="126"/>
    </row>
    <row r="8" spans="2:5">
      <c r="B8" s="147" t="s">
        <v>160</v>
      </c>
      <c r="C8" s="450"/>
      <c r="D8" s="454">
        <f>IF(inputPrYr!H33&gt;0,inputPrYr!H33,inputPrYr!E33)</f>
        <v>0</v>
      </c>
      <c r="E8" s="335" t="s">
        <v>148</v>
      </c>
    </row>
    <row r="9" spans="2:5">
      <c r="B9" s="147" t="s">
        <v>161</v>
      </c>
      <c r="C9" s="450"/>
      <c r="D9" s="450"/>
      <c r="E9" s="111"/>
    </row>
    <row r="10" spans="2:5">
      <c r="B10" s="147" t="s">
        <v>162</v>
      </c>
      <c r="C10" s="450"/>
      <c r="D10" s="450"/>
      <c r="E10" s="263" t="str">
        <f>mvalloc!E24</f>
        <v xml:space="preserve">  </v>
      </c>
    </row>
    <row r="11" spans="2:5">
      <c r="B11" s="147" t="s">
        <v>163</v>
      </c>
      <c r="C11" s="450"/>
      <c r="D11" s="450"/>
      <c r="E11" s="263" t="str">
        <f>mvalloc!F24</f>
        <v xml:space="preserve">  </v>
      </c>
    </row>
    <row r="12" spans="2:5">
      <c r="B12" s="303" t="s">
        <v>227</v>
      </c>
      <c r="C12" s="450"/>
      <c r="D12" s="450"/>
      <c r="E12" s="263" t="str">
        <f>mvalloc!G24</f>
        <v xml:space="preserve">  </v>
      </c>
    </row>
    <row r="13" spans="2:5">
      <c r="B13" s="316"/>
      <c r="C13" s="450"/>
      <c r="D13" s="450"/>
      <c r="E13" s="111"/>
    </row>
    <row r="14" spans="2:5">
      <c r="B14" s="316"/>
      <c r="C14" s="450"/>
      <c r="D14" s="450"/>
      <c r="E14" s="111"/>
    </row>
    <row r="15" spans="2:5">
      <c r="B15" s="316"/>
      <c r="C15" s="450"/>
      <c r="D15" s="450"/>
      <c r="E15" s="111"/>
    </row>
    <row r="16" spans="2:5">
      <c r="B16" s="316"/>
      <c r="C16" s="450"/>
      <c r="D16" s="450"/>
      <c r="E16" s="111"/>
    </row>
    <row r="17" spans="2:10">
      <c r="B17" s="306" t="s">
        <v>167</v>
      </c>
      <c r="C17" s="450"/>
      <c r="D17" s="450"/>
      <c r="E17" s="111"/>
    </row>
    <row r="18" spans="2:10">
      <c r="B18" s="307" t="s">
        <v>75</v>
      </c>
      <c r="C18" s="450"/>
      <c r="D18" s="450"/>
      <c r="E18" s="111"/>
    </row>
    <row r="19" spans="2:10">
      <c r="B19" s="307" t="s">
        <v>682</v>
      </c>
      <c r="C19" s="451" t="str">
        <f>IF(C20*0.1&lt;C18,"Exceed 10% Rule","")</f>
        <v/>
      </c>
      <c r="D19" s="451" t="str">
        <f>IF(D20*0.1&lt;D18,"Exceed 10% Rule","")</f>
        <v/>
      </c>
      <c r="E19" s="342" t="str">
        <f>IF(E20*0.1+E40&lt;E18,"Exceed 10% Rule","")</f>
        <v/>
      </c>
    </row>
    <row r="20" spans="2:10">
      <c r="B20" s="309" t="s">
        <v>168</v>
      </c>
      <c r="C20" s="452">
        <f>SUM(C8:C18)</f>
        <v>0</v>
      </c>
      <c r="D20" s="452">
        <f>SUM(D8:D18)</f>
        <v>0</v>
      </c>
      <c r="E20" s="350">
        <f>SUM(E8:E18)</f>
        <v>0</v>
      </c>
    </row>
    <row r="21" spans="2:10">
      <c r="B21" s="309" t="s">
        <v>169</v>
      </c>
      <c r="C21" s="452">
        <f>C6+C20</f>
        <v>0</v>
      </c>
      <c r="D21" s="452">
        <f>D6+D20</f>
        <v>0</v>
      </c>
      <c r="E21" s="350">
        <f>E6+E20</f>
        <v>0</v>
      </c>
    </row>
    <row r="22" spans="2:10">
      <c r="B22" s="147" t="s">
        <v>172</v>
      </c>
      <c r="C22" s="307"/>
      <c r="D22" s="307"/>
      <c r="E22" s="107"/>
    </row>
    <row r="23" spans="2:10">
      <c r="B23" s="316"/>
      <c r="C23" s="450"/>
      <c r="D23" s="450"/>
      <c r="E23" s="111"/>
    </row>
    <row r="24" spans="2:10">
      <c r="B24" s="316"/>
      <c r="C24" s="450"/>
      <c r="D24" s="450"/>
      <c r="E24" s="111"/>
      <c r="G24" s="800" t="str">
        <f>CONCATENATE("Desired Carryover Into ",E1+1,"")</f>
        <v>Desired Carryover Into 2015</v>
      </c>
      <c r="H24" s="801"/>
      <c r="I24" s="801"/>
      <c r="J24" s="802"/>
    </row>
    <row r="25" spans="2:10">
      <c r="B25" s="316"/>
      <c r="C25" s="450"/>
      <c r="D25" s="450"/>
      <c r="E25" s="111"/>
      <c r="G25" s="648"/>
      <c r="H25" s="649"/>
      <c r="I25" s="650"/>
      <c r="J25" s="651"/>
    </row>
    <row r="26" spans="2:10">
      <c r="B26" s="316"/>
      <c r="C26" s="450"/>
      <c r="D26" s="450"/>
      <c r="E26" s="111"/>
      <c r="G26" s="652" t="s">
        <v>688</v>
      </c>
      <c r="H26" s="650"/>
      <c r="I26" s="650"/>
      <c r="J26" s="653">
        <v>0</v>
      </c>
    </row>
    <row r="27" spans="2:10">
      <c r="B27" s="316"/>
      <c r="C27" s="450"/>
      <c r="D27" s="450"/>
      <c r="E27" s="111"/>
      <c r="G27" s="648" t="s">
        <v>689</v>
      </c>
      <c r="H27" s="649"/>
      <c r="I27" s="649"/>
      <c r="J27" s="654" t="str">
        <f>IF(J26=0,"",ROUND((J26+E40-G39)/inputOth!E6*1000,3)-G44)</f>
        <v/>
      </c>
    </row>
    <row r="28" spans="2:10">
      <c r="B28" s="316"/>
      <c r="C28" s="450"/>
      <c r="D28" s="450"/>
      <c r="E28" s="111"/>
      <c r="G28" s="655" t="str">
        <f>CONCATENATE("",E1," Tot Exp/Non-Appr Must Be:")</f>
        <v>2014 Tot Exp/Non-Appr Must Be:</v>
      </c>
      <c r="H28" s="656"/>
      <c r="I28" s="657"/>
      <c r="J28" s="658">
        <f>IF(J26&gt;0,IF(E37&lt;E21,IF(J26=G39,E37,((J26-G39)*(1-D39))+E21),E37+(J26-G39)),0)</f>
        <v>0</v>
      </c>
    </row>
    <row r="29" spans="2:10">
      <c r="B29" s="316"/>
      <c r="C29" s="450"/>
      <c r="D29" s="450"/>
      <c r="E29" s="111"/>
      <c r="G29" s="659" t="s">
        <v>840</v>
      </c>
      <c r="H29" s="660"/>
      <c r="I29" s="660"/>
      <c r="J29" s="661">
        <f>IF(J26&gt;0,J28-E37,0)</f>
        <v>0</v>
      </c>
    </row>
    <row r="30" spans="2:10">
      <c r="B30" s="307" t="s">
        <v>77</v>
      </c>
      <c r="C30" s="450"/>
      <c r="D30" s="450"/>
      <c r="E30" s="119" t="str">
        <f>Nhood!E23</f>
        <v/>
      </c>
      <c r="G30" s="1"/>
      <c r="H30" s="1"/>
      <c r="I30" s="1"/>
      <c r="J30" s="1"/>
    </row>
    <row r="31" spans="2:10">
      <c r="B31" s="307" t="s">
        <v>75</v>
      </c>
      <c r="C31" s="450"/>
      <c r="D31" s="450"/>
      <c r="E31" s="111"/>
      <c r="G31" s="800" t="str">
        <f>CONCATENATE("Projected Carryover Into ",E1+1,"")</f>
        <v>Projected Carryover Into 2015</v>
      </c>
      <c r="H31" s="807"/>
      <c r="I31" s="807"/>
      <c r="J31" s="808"/>
    </row>
    <row r="32" spans="2:10">
      <c r="B32" s="307" t="s">
        <v>681</v>
      </c>
      <c r="C32" s="451" t="str">
        <f>IF(C33*0.1&lt;C31,"Exceed 10% Rule","")</f>
        <v/>
      </c>
      <c r="D32" s="451" t="str">
        <f>IF(D33*0.1&lt;D31,"Exceed 10% Rule","")</f>
        <v/>
      </c>
      <c r="E32" s="342" t="str">
        <f>IF(E33*0.1&lt;E31,"Exceed 10% Rule","")</f>
        <v/>
      </c>
      <c r="G32" s="648"/>
      <c r="H32" s="650"/>
      <c r="I32" s="650"/>
      <c r="J32" s="676"/>
    </row>
    <row r="33" spans="2:11">
      <c r="B33" s="309" t="s">
        <v>173</v>
      </c>
      <c r="C33" s="452">
        <f>SUM(C23:C31)</f>
        <v>0</v>
      </c>
      <c r="D33" s="452">
        <f>SUM(D23:D31)</f>
        <v>0</v>
      </c>
      <c r="E33" s="350">
        <f>SUM(E23:E31)</f>
        <v>0</v>
      </c>
      <c r="G33" s="677">
        <f>D34</f>
        <v>0</v>
      </c>
      <c r="H33" s="667" t="str">
        <f>CONCATENATE("",E1-1," Ending Cash Balance (est.)")</f>
        <v>2013 Ending Cash Balance (est.)</v>
      </c>
      <c r="I33" s="678"/>
      <c r="J33" s="676"/>
    </row>
    <row r="34" spans="2:11">
      <c r="B34" s="147" t="s">
        <v>279</v>
      </c>
      <c r="C34" s="455">
        <f>C21-C33</f>
        <v>0</v>
      </c>
      <c r="D34" s="455">
        <f>D21-D33</f>
        <v>0</v>
      </c>
      <c r="E34" s="335" t="s">
        <v>148</v>
      </c>
      <c r="G34" s="677">
        <f>E20</f>
        <v>0</v>
      </c>
      <c r="H34" s="650" t="str">
        <f>CONCATENATE("",E1," Non-AV Receipts (est.)")</f>
        <v>2014 Non-AV Receipts (est.)</v>
      </c>
      <c r="I34" s="678"/>
      <c r="J34" s="676"/>
    </row>
    <row r="35" spans="2:11">
      <c r="B35" s="285" t="str">
        <f>CONCATENATE("",E$1-2,"/",E$1-1," Budget Authority Amount:")</f>
        <v>2012/2013 Budget Authority Amount:</v>
      </c>
      <c r="C35" s="277">
        <f>inputOth!B47</f>
        <v>0</v>
      </c>
      <c r="D35" s="277">
        <f>inputPrYr!D33</f>
        <v>0</v>
      </c>
      <c r="E35" s="335" t="s">
        <v>148</v>
      </c>
      <c r="F35" s="318"/>
      <c r="G35" s="679">
        <f>IF(E39&gt;0,E38,E40)</f>
        <v>0</v>
      </c>
      <c r="H35" s="650" t="str">
        <f>CONCATENATE("",E1," Ad Valorem Tax (est.)")</f>
        <v>2014 Ad Valorem Tax (est.)</v>
      </c>
      <c r="I35" s="678"/>
      <c r="J35" s="676"/>
      <c r="K35" s="664" t="str">
        <f>IF(G35=E40,"","Note: Does not include Delinquent Taxes")</f>
        <v/>
      </c>
    </row>
    <row r="36" spans="2:11">
      <c r="B36" s="285"/>
      <c r="C36" s="790" t="s">
        <v>685</v>
      </c>
      <c r="D36" s="791"/>
      <c r="E36" s="111"/>
      <c r="F36" s="500" t="str">
        <f>IF(E33/0.95-E33&lt;E36,"Exceeds 5%","")</f>
        <v/>
      </c>
      <c r="G36" s="677">
        <f>SUM(G33:G35)</f>
        <v>0</v>
      </c>
      <c r="H36" s="650" t="str">
        <f>CONCATENATE("Total ",E1," Resources Available")</f>
        <v>Total 2014 Resources Available</v>
      </c>
      <c r="I36" s="678"/>
      <c r="J36" s="676"/>
    </row>
    <row r="37" spans="2:11">
      <c r="B37" s="504" t="str">
        <f>CONCATENATE(C91,"     ",D91)</f>
        <v xml:space="preserve">     </v>
      </c>
      <c r="C37" s="792" t="s">
        <v>686</v>
      </c>
      <c r="D37" s="793"/>
      <c r="E37" s="263">
        <f>E33+E36</f>
        <v>0</v>
      </c>
      <c r="G37" s="680"/>
      <c r="H37" s="650"/>
      <c r="I37" s="650"/>
      <c r="J37" s="676"/>
    </row>
    <row r="38" spans="2:11">
      <c r="B38" s="504" t="str">
        <f>CONCATENATE(C92,"     ",D92)</f>
        <v xml:space="preserve">     </v>
      </c>
      <c r="C38" s="319"/>
      <c r="D38" s="238" t="s">
        <v>174</v>
      </c>
      <c r="E38" s="119">
        <f>IF(E37-E21&gt;0,E37-E21,0)</f>
        <v>0</v>
      </c>
      <c r="G38" s="679">
        <f>ROUND(C33*0.05+C33,0)</f>
        <v>0</v>
      </c>
      <c r="H38" s="650" t="str">
        <f>CONCATENATE("Less ",E1-2," Expenditures + 5%")</f>
        <v>Less 2012 Expenditures + 5%</v>
      </c>
      <c r="I38" s="678"/>
      <c r="J38" s="681"/>
    </row>
    <row r="39" spans="2:11">
      <c r="B39" s="238"/>
      <c r="C39" s="502" t="s">
        <v>687</v>
      </c>
      <c r="D39" s="647">
        <f>inputOth!$E$23</f>
        <v>0.03</v>
      </c>
      <c r="E39" s="263">
        <f>ROUND(IF(D39&gt;0,($E$38*D39),0),0)</f>
        <v>0</v>
      </c>
      <c r="G39" s="682">
        <f>G36-G38</f>
        <v>0</v>
      </c>
      <c r="H39" s="683" t="str">
        <f>CONCATENATE("Projected ",E1+1," carryover (est.)")</f>
        <v>Projected 2015 carryover (est.)</v>
      </c>
      <c r="I39" s="684"/>
      <c r="J39" s="685"/>
    </row>
    <row r="40" spans="2:11">
      <c r="B40" s="84"/>
      <c r="C40" s="798" t="str">
        <f>CONCATENATE("Amount of  ",$E$1-1," Ad Valorem Tax")</f>
        <v>Amount of  2013 Ad Valorem Tax</v>
      </c>
      <c r="D40" s="799"/>
      <c r="E40" s="346">
        <f>E38+E39</f>
        <v>0</v>
      </c>
      <c r="G40" s="1"/>
      <c r="H40" s="1"/>
      <c r="I40" s="1"/>
      <c r="J40" s="1"/>
    </row>
    <row r="41" spans="2:11">
      <c r="B41" s="83"/>
      <c r="C41" s="325"/>
      <c r="D41" s="325"/>
      <c r="E41" s="325"/>
      <c r="G41" s="803" t="s">
        <v>841</v>
      </c>
      <c r="H41" s="804"/>
      <c r="I41" s="804"/>
      <c r="J41" s="805"/>
    </row>
    <row r="42" spans="2:11">
      <c r="B42" s="83" t="s">
        <v>159</v>
      </c>
      <c r="C42" s="701" t="str">
        <f t="shared" ref="C42:E43" si="0">C4</f>
        <v xml:space="preserve">Prior Year </v>
      </c>
      <c r="D42" s="702" t="str">
        <f t="shared" si="0"/>
        <v xml:space="preserve">Current Year </v>
      </c>
      <c r="E42" s="214" t="str">
        <f t="shared" si="0"/>
        <v xml:space="preserve">Proposed Budget </v>
      </c>
      <c r="G42" s="666"/>
      <c r="H42" s="667"/>
      <c r="I42" s="668"/>
      <c r="J42" s="669"/>
    </row>
    <row r="43" spans="2:11">
      <c r="B43" s="481">
        <f>inputPrYr!B34</f>
        <v>0</v>
      </c>
      <c r="C43" s="453" t="str">
        <f t="shared" si="0"/>
        <v>Actual for 2012</v>
      </c>
      <c r="D43" s="453" t="str">
        <f t="shared" si="0"/>
        <v>Estimate for 2013</v>
      </c>
      <c r="E43" s="300" t="str">
        <f t="shared" si="0"/>
        <v>Year for 2014</v>
      </c>
      <c r="G43" s="670" t="str">
        <f>summ!H33</f>
        <v xml:space="preserve">  </v>
      </c>
      <c r="H43" s="667" t="str">
        <f>CONCATENATE("",E1," Fund Mill Rate")</f>
        <v>2014 Fund Mill Rate</v>
      </c>
      <c r="I43" s="668"/>
      <c r="J43" s="669"/>
    </row>
    <row r="44" spans="2:11">
      <c r="B44" s="147" t="s">
        <v>278</v>
      </c>
      <c r="C44" s="450"/>
      <c r="D44" s="454">
        <f>C74</f>
        <v>0</v>
      </c>
      <c r="E44" s="263">
        <f>D74</f>
        <v>0</v>
      </c>
      <c r="G44" s="671" t="str">
        <f>summ!E33</f>
        <v xml:space="preserve">  </v>
      </c>
      <c r="H44" s="667" t="str">
        <f>CONCATENATE("",E1-1," Fund Mill Rate")</f>
        <v>2013 Fund Mill Rate</v>
      </c>
      <c r="I44" s="668"/>
      <c r="J44" s="669"/>
    </row>
    <row r="45" spans="2:11">
      <c r="B45" s="301" t="s">
        <v>280</v>
      </c>
      <c r="C45" s="303"/>
      <c r="D45" s="303"/>
      <c r="E45" s="126"/>
      <c r="G45" s="672">
        <f>summ!H61</f>
        <v>56.5124</v>
      </c>
      <c r="H45" s="667" t="str">
        <f>CONCATENATE("Total ",E1," Mill Rate")</f>
        <v>Total 2014 Mill Rate</v>
      </c>
      <c r="I45" s="668"/>
      <c r="J45" s="669"/>
    </row>
    <row r="46" spans="2:11">
      <c r="B46" s="147" t="s">
        <v>160</v>
      </c>
      <c r="C46" s="450"/>
      <c r="D46" s="454">
        <f>IF(inputPrYr!H34&gt;0,inputPrYr!H34,inputPrYr!E34)</f>
        <v>0</v>
      </c>
      <c r="E46" s="335" t="s">
        <v>148</v>
      </c>
      <c r="G46" s="671">
        <f>summ!E61</f>
        <v>63.972000000000008</v>
      </c>
      <c r="H46" s="673" t="str">
        <f>CONCATENATE("Total ",E1-1," Mill Rate")</f>
        <v>Total 2013 Mill Rate</v>
      </c>
      <c r="I46" s="674"/>
      <c r="J46" s="675"/>
    </row>
    <row r="47" spans="2:11">
      <c r="B47" s="147" t="s">
        <v>161</v>
      </c>
      <c r="C47" s="450"/>
      <c r="D47" s="450"/>
      <c r="E47" s="111"/>
      <c r="G47" s="1"/>
      <c r="H47" s="1"/>
      <c r="I47" s="1"/>
      <c r="J47" s="1"/>
    </row>
    <row r="48" spans="2:11">
      <c r="B48" s="147" t="s">
        <v>162</v>
      </c>
      <c r="C48" s="450"/>
      <c r="D48" s="450"/>
      <c r="E48" s="263" t="str">
        <f>mvalloc!E25</f>
        <v xml:space="preserve">  </v>
      </c>
      <c r="G48" s="1"/>
      <c r="H48" s="1"/>
      <c r="I48" s="1"/>
      <c r="J48" s="1"/>
    </row>
    <row r="49" spans="2:10">
      <c r="B49" s="147" t="s">
        <v>163</v>
      </c>
      <c r="C49" s="450"/>
      <c r="D49" s="450"/>
      <c r="E49" s="263" t="str">
        <f>mvalloc!F25</f>
        <v xml:space="preserve">  </v>
      </c>
      <c r="G49" s="1"/>
      <c r="H49" s="1"/>
      <c r="I49" s="1"/>
      <c r="J49" s="1"/>
    </row>
    <row r="50" spans="2:10">
      <c r="B50" s="303" t="s">
        <v>227</v>
      </c>
      <c r="C50" s="450"/>
      <c r="D50" s="450"/>
      <c r="E50" s="263" t="str">
        <f>mvalloc!G25</f>
        <v xml:space="preserve">  </v>
      </c>
      <c r="G50" s="1"/>
      <c r="H50" s="1"/>
      <c r="I50" s="1"/>
      <c r="J50" s="1"/>
    </row>
    <row r="51" spans="2:10">
      <c r="B51" s="316"/>
      <c r="C51" s="450"/>
      <c r="D51" s="450"/>
      <c r="E51" s="111"/>
      <c r="G51" s="1"/>
      <c r="H51" s="1"/>
      <c r="I51" s="1"/>
      <c r="J51" s="1"/>
    </row>
    <row r="52" spans="2:10">
      <c r="B52" s="316"/>
      <c r="C52" s="450"/>
      <c r="D52" s="450"/>
      <c r="E52" s="111"/>
      <c r="G52" s="1"/>
      <c r="H52" s="1"/>
      <c r="I52" s="1"/>
      <c r="J52" s="1"/>
    </row>
    <row r="53" spans="2:10">
      <c r="B53" s="316"/>
      <c r="C53" s="450"/>
      <c r="D53" s="450"/>
      <c r="E53" s="111"/>
      <c r="G53" s="1"/>
      <c r="H53" s="1"/>
      <c r="I53" s="1"/>
      <c r="J53" s="1"/>
    </row>
    <row r="54" spans="2:10">
      <c r="B54" s="316"/>
      <c r="C54" s="450"/>
      <c r="D54" s="450"/>
      <c r="E54" s="111"/>
      <c r="G54" s="1"/>
      <c r="H54" s="1"/>
      <c r="I54" s="1"/>
      <c r="J54" s="1"/>
    </row>
    <row r="55" spans="2:10">
      <c r="B55" s="316"/>
      <c r="C55" s="450"/>
      <c r="D55" s="450"/>
      <c r="E55" s="111"/>
      <c r="G55" s="1"/>
      <c r="H55" s="1"/>
      <c r="I55" s="1"/>
      <c r="J55" s="1"/>
    </row>
    <row r="56" spans="2:10">
      <c r="B56" s="306"/>
      <c r="C56" s="450"/>
      <c r="D56" s="450"/>
      <c r="E56" s="111"/>
      <c r="G56" s="1"/>
      <c r="H56" s="1"/>
      <c r="I56" s="1"/>
      <c r="J56" s="1"/>
    </row>
    <row r="57" spans="2:10">
      <c r="B57" s="306" t="s">
        <v>167</v>
      </c>
      <c r="C57" s="450"/>
      <c r="D57" s="450"/>
      <c r="E57" s="475"/>
      <c r="G57" s="1"/>
      <c r="H57" s="1"/>
      <c r="I57" s="1"/>
      <c r="J57" s="1"/>
    </row>
    <row r="58" spans="2:10">
      <c r="B58" s="307" t="s">
        <v>75</v>
      </c>
      <c r="C58" s="450"/>
      <c r="D58" s="450"/>
      <c r="E58" s="111"/>
      <c r="G58" s="1"/>
      <c r="H58" s="1"/>
      <c r="I58" s="1"/>
      <c r="J58" s="1"/>
    </row>
    <row r="59" spans="2:10">
      <c r="B59" s="307" t="s">
        <v>682</v>
      </c>
      <c r="C59" s="451" t="str">
        <f>IF(C60*0.1&lt;C58,"Exceed 10% Rule","")</f>
        <v/>
      </c>
      <c r="D59" s="451" t="str">
        <f>IF(D60*0.1&lt;D58,"Exceed 10% Rule","")</f>
        <v/>
      </c>
      <c r="E59" s="342" t="str">
        <f>IF(E60*0.1+E80&lt;E58,"Exceed 10% Rule","")</f>
        <v/>
      </c>
      <c r="G59" s="1"/>
      <c r="H59" s="1"/>
      <c r="I59" s="1"/>
      <c r="J59" s="1"/>
    </row>
    <row r="60" spans="2:10">
      <c r="B60" s="309" t="s">
        <v>168</v>
      </c>
      <c r="C60" s="452">
        <f>SUM(C46:C58)</f>
        <v>0</v>
      </c>
      <c r="D60" s="452">
        <f>SUM(D46:D58)</f>
        <v>0</v>
      </c>
      <c r="E60" s="350">
        <f>SUM(E46:E58)</f>
        <v>0</v>
      </c>
      <c r="G60" s="1"/>
      <c r="H60" s="1"/>
      <c r="I60" s="1"/>
      <c r="J60" s="1"/>
    </row>
    <row r="61" spans="2:10">
      <c r="B61" s="309" t="s">
        <v>169</v>
      </c>
      <c r="C61" s="452">
        <f>C44+C60</f>
        <v>0</v>
      </c>
      <c r="D61" s="452">
        <f>D44+D60</f>
        <v>0</v>
      </c>
      <c r="E61" s="350">
        <f>E44+E60</f>
        <v>0</v>
      </c>
      <c r="G61" s="1"/>
      <c r="H61" s="1"/>
      <c r="I61" s="1"/>
      <c r="J61" s="1"/>
    </row>
    <row r="62" spans="2:10">
      <c r="B62" s="147" t="s">
        <v>172</v>
      </c>
      <c r="C62" s="307"/>
      <c r="D62" s="307"/>
      <c r="E62" s="107"/>
      <c r="G62" s="1"/>
      <c r="H62" s="1"/>
      <c r="I62" s="1"/>
      <c r="J62" s="1"/>
    </row>
    <row r="63" spans="2:10">
      <c r="B63" s="316"/>
      <c r="C63" s="450"/>
      <c r="D63" s="450"/>
      <c r="E63" s="111"/>
      <c r="G63" s="1"/>
      <c r="H63" s="1"/>
      <c r="I63" s="1"/>
      <c r="J63" s="1"/>
    </row>
    <row r="64" spans="2:10">
      <c r="B64" s="316"/>
      <c r="C64" s="450"/>
      <c r="D64" s="450"/>
      <c r="E64" s="111"/>
      <c r="G64" s="800" t="str">
        <f>CONCATENATE("Desired Carryover Into ",E1+1,"")</f>
        <v>Desired Carryover Into 2015</v>
      </c>
      <c r="H64" s="801"/>
      <c r="I64" s="801"/>
      <c r="J64" s="802"/>
    </row>
    <row r="65" spans="2:11">
      <c r="B65" s="316"/>
      <c r="C65" s="450"/>
      <c r="D65" s="450"/>
      <c r="E65" s="111"/>
      <c r="G65" s="648"/>
      <c r="H65" s="649"/>
      <c r="I65" s="650"/>
      <c r="J65" s="651"/>
    </row>
    <row r="66" spans="2:11">
      <c r="B66" s="316"/>
      <c r="C66" s="450"/>
      <c r="D66" s="450"/>
      <c r="E66" s="111"/>
      <c r="G66" s="652" t="s">
        <v>688</v>
      </c>
      <c r="H66" s="650"/>
      <c r="I66" s="650"/>
      <c r="J66" s="653">
        <v>0</v>
      </c>
    </row>
    <row r="67" spans="2:11">
      <c r="B67" s="316"/>
      <c r="C67" s="450"/>
      <c r="D67" s="450"/>
      <c r="E67" s="111"/>
      <c r="G67" s="648" t="s">
        <v>689</v>
      </c>
      <c r="H67" s="649"/>
      <c r="I67" s="649"/>
      <c r="J67" s="654" t="str">
        <f>IF(J66=0,"",ROUND((J66+E80-G79)/inputOth!E6*1000,3)-G84)</f>
        <v/>
      </c>
    </row>
    <row r="68" spans="2:11">
      <c r="B68" s="316"/>
      <c r="C68" s="450"/>
      <c r="D68" s="450"/>
      <c r="E68" s="111"/>
      <c r="G68" s="655" t="str">
        <f>CONCATENATE("",E1," Tot Exp/Non-Appr Must Be:")</f>
        <v>2014 Tot Exp/Non-Appr Must Be:</v>
      </c>
      <c r="H68" s="656"/>
      <c r="I68" s="657"/>
      <c r="J68" s="658">
        <f>IF(J66&gt;0,IF(E77&lt;E61,IF(J66=G79,E77,((J66-G79)*(1-D79))+E61),E77+(J66-G79)),0)</f>
        <v>0</v>
      </c>
    </row>
    <row r="69" spans="2:11">
      <c r="B69" s="316"/>
      <c r="C69" s="450"/>
      <c r="D69" s="450"/>
      <c r="E69" s="111"/>
      <c r="G69" s="659" t="s">
        <v>840</v>
      </c>
      <c r="H69" s="660"/>
      <c r="I69" s="660"/>
      <c r="J69" s="661">
        <f>IF(J66&gt;0,J68-E77,0)</f>
        <v>0</v>
      </c>
    </row>
    <row r="70" spans="2:11">
      <c r="B70" s="307" t="s">
        <v>77</v>
      </c>
      <c r="C70" s="450"/>
      <c r="D70" s="450"/>
      <c r="E70" s="119" t="str">
        <f>Nhood!E24</f>
        <v/>
      </c>
      <c r="G70" s="1"/>
      <c r="H70" s="1"/>
      <c r="I70" s="1"/>
      <c r="J70" s="1"/>
    </row>
    <row r="71" spans="2:11">
      <c r="B71" s="307" t="s">
        <v>75</v>
      </c>
      <c r="C71" s="450"/>
      <c r="D71" s="450"/>
      <c r="E71" s="111"/>
      <c r="G71" s="800" t="str">
        <f>CONCATENATE("Projected Carryover Into ",E1+1,"")</f>
        <v>Projected Carryover Into 2015</v>
      </c>
      <c r="H71" s="809"/>
      <c r="I71" s="809"/>
      <c r="J71" s="808"/>
    </row>
    <row r="72" spans="2:11">
      <c r="B72" s="307" t="s">
        <v>681</v>
      </c>
      <c r="C72" s="451" t="str">
        <f>IF(C73*0.1&lt;C71,"Exceed 10% Rule","")</f>
        <v/>
      </c>
      <c r="D72" s="451" t="str">
        <f>IF(D73*0.1&lt;D71,"Exceed 10% Rule","")</f>
        <v/>
      </c>
      <c r="E72" s="342" t="str">
        <f>IF(E73*0.1&lt;E71,"Exceed 10% Rule","")</f>
        <v/>
      </c>
      <c r="G72" s="686"/>
      <c r="H72" s="649"/>
      <c r="I72" s="649"/>
      <c r="J72" s="681"/>
    </row>
    <row r="73" spans="2:11">
      <c r="B73" s="309" t="s">
        <v>173</v>
      </c>
      <c r="C73" s="452">
        <f>SUM(C63:C71)</f>
        <v>0</v>
      </c>
      <c r="D73" s="452">
        <f>SUM(D63:D71)</f>
        <v>0</v>
      </c>
      <c r="E73" s="350">
        <f>SUM(E63:E71)</f>
        <v>0</v>
      </c>
      <c r="G73" s="677">
        <f>D74</f>
        <v>0</v>
      </c>
      <c r="H73" s="667" t="str">
        <f>CONCATENATE("",E1-1," Ending Cash Balance (est.)")</f>
        <v>2013 Ending Cash Balance (est.)</v>
      </c>
      <c r="I73" s="678"/>
      <c r="J73" s="681"/>
    </row>
    <row r="74" spans="2:11">
      <c r="B74" s="147" t="s">
        <v>279</v>
      </c>
      <c r="C74" s="455">
        <f>C61-C73</f>
        <v>0</v>
      </c>
      <c r="D74" s="455">
        <f>D61-D73</f>
        <v>0</v>
      </c>
      <c r="E74" s="335" t="s">
        <v>148</v>
      </c>
      <c r="G74" s="677">
        <f>E60</f>
        <v>0</v>
      </c>
      <c r="H74" s="650" t="str">
        <f>CONCATENATE("",E1," Non-AV Receipts (est.)")</f>
        <v>2014 Non-AV Receipts (est.)</v>
      </c>
      <c r="I74" s="678"/>
      <c r="J74" s="681"/>
    </row>
    <row r="75" spans="2:11">
      <c r="B75" s="285" t="str">
        <f>CONCATENATE("",E$1-2,"/",E$1-1," Budget Authority Amount:")</f>
        <v>2012/2013 Budget Authority Amount:</v>
      </c>
      <c r="C75" s="277">
        <f>inputOth!B48</f>
        <v>0</v>
      </c>
      <c r="D75" s="277">
        <f>inputPrYr!D34</f>
        <v>0</v>
      </c>
      <c r="E75" s="335" t="s">
        <v>148</v>
      </c>
      <c r="F75" s="318"/>
      <c r="G75" s="679">
        <f>IF(E79&gt;0,E78,E80)</f>
        <v>0</v>
      </c>
      <c r="H75" s="650" t="str">
        <f>CONCATENATE("",E1," Ad Valorem Tax (est.)")</f>
        <v>2014 Ad Valorem Tax (est.)</v>
      </c>
      <c r="I75" s="678"/>
      <c r="J75" s="681"/>
      <c r="K75" s="664" t="str">
        <f>IF(G75=E80,"","Note: Does not include Delinquent Taxes")</f>
        <v/>
      </c>
    </row>
    <row r="76" spans="2:11">
      <c r="B76" s="285"/>
      <c r="C76" s="790" t="s">
        <v>685</v>
      </c>
      <c r="D76" s="791"/>
      <c r="E76" s="111"/>
      <c r="F76" s="500" t="str">
        <f>IF(E73/0.95-E73&lt;E76,"Exceeds 5%","")</f>
        <v/>
      </c>
      <c r="G76" s="687">
        <f>SUM(G73:G75)</f>
        <v>0</v>
      </c>
      <c r="H76" s="650" t="str">
        <f>CONCATENATE("Total ",E1," Resources Available")</f>
        <v>Total 2014 Resources Available</v>
      </c>
      <c r="I76" s="688"/>
      <c r="J76" s="681"/>
    </row>
    <row r="77" spans="2:11">
      <c r="B77" s="503" t="str">
        <f>CONCATENATE(C93,"     ",D93)</f>
        <v xml:space="preserve">     </v>
      </c>
      <c r="C77" s="792" t="s">
        <v>686</v>
      </c>
      <c r="D77" s="793"/>
      <c r="E77" s="263">
        <f>E73+E76</f>
        <v>0</v>
      </c>
      <c r="G77" s="689"/>
      <c r="H77" s="690"/>
      <c r="I77" s="649"/>
      <c r="J77" s="681"/>
    </row>
    <row r="78" spans="2:11">
      <c r="B78" s="503" t="str">
        <f>CONCATENATE(C94,"     ",D94)</f>
        <v xml:space="preserve">     </v>
      </c>
      <c r="C78" s="319"/>
      <c r="D78" s="238" t="s">
        <v>174</v>
      </c>
      <c r="E78" s="119">
        <f>IF(E77-E61&gt;0,E77-E61,0)</f>
        <v>0</v>
      </c>
      <c r="G78" s="691">
        <f>ROUND(C73*0.05+C73,0)</f>
        <v>0</v>
      </c>
      <c r="H78" s="650" t="str">
        <f>CONCATENATE("Less ",E1-2," Expenditures + 5%")</f>
        <v>Less 2012 Expenditures + 5%</v>
      </c>
      <c r="I78" s="688"/>
      <c r="J78" s="681"/>
    </row>
    <row r="79" spans="2:11">
      <c r="B79" s="238"/>
      <c r="C79" s="502" t="s">
        <v>687</v>
      </c>
      <c r="D79" s="647">
        <f>inputOth!$E$23</f>
        <v>0.03</v>
      </c>
      <c r="E79" s="263">
        <f>ROUND(IF(D79&gt;0,($E$78*D79),0),0)</f>
        <v>0</v>
      </c>
      <c r="G79" s="692">
        <f>G76-G78</f>
        <v>0</v>
      </c>
      <c r="H79" s="683" t="str">
        <f>CONCATENATE("Projected ",E1+1," carryover (est.)")</f>
        <v>Projected 2015 carryover (est.)</v>
      </c>
      <c r="I79" s="693"/>
      <c r="J79" s="694"/>
    </row>
    <row r="80" spans="2:11">
      <c r="B80" s="84"/>
      <c r="C80" s="798" t="str">
        <f>CONCATENATE("Amount of  ",$E$1-1," Ad Valorem Tax")</f>
        <v>Amount of  2013 Ad Valorem Tax</v>
      </c>
      <c r="D80" s="799"/>
      <c r="E80" s="346">
        <f>E78+E79</f>
        <v>0</v>
      </c>
      <c r="G80" s="1"/>
      <c r="H80" s="1"/>
      <c r="I80" s="1"/>
      <c r="J80" s="1"/>
    </row>
    <row r="81" spans="2:10">
      <c r="B81" s="285" t="s">
        <v>188</v>
      </c>
      <c r="C81" s="347"/>
      <c r="D81" s="84"/>
      <c r="E81" s="84"/>
      <c r="G81" s="803" t="s">
        <v>841</v>
      </c>
      <c r="H81" s="804"/>
      <c r="I81" s="804"/>
      <c r="J81" s="805"/>
    </row>
    <row r="82" spans="2:10">
      <c r="G82" s="666"/>
      <c r="H82" s="667"/>
      <c r="I82" s="668"/>
      <c r="J82" s="669"/>
    </row>
    <row r="83" spans="2:10">
      <c r="G83" s="670" t="str">
        <f>summ!H34</f>
        <v xml:space="preserve">  </v>
      </c>
      <c r="H83" s="667" t="str">
        <f>CONCATENATE("",E1," Fund Mill Rate")</f>
        <v>2014 Fund Mill Rate</v>
      </c>
      <c r="I83" s="668"/>
      <c r="J83" s="669"/>
    </row>
    <row r="84" spans="2:10">
      <c r="G84" s="671" t="str">
        <f>summ!E34</f>
        <v xml:space="preserve">  </v>
      </c>
      <c r="H84" s="667" t="str">
        <f>CONCATENATE("",E1-1," Fund Mill Rate")</f>
        <v>2013 Fund Mill Rate</v>
      </c>
      <c r="I84" s="668"/>
      <c r="J84" s="669"/>
    </row>
    <row r="85" spans="2:10">
      <c r="G85" s="672">
        <f>summ!H61</f>
        <v>56.5124</v>
      </c>
      <c r="H85" s="667" t="str">
        <f>CONCATENATE("Total ",E1," Mill Rate")</f>
        <v>Total 2014 Mill Rate</v>
      </c>
      <c r="I85" s="668"/>
      <c r="J85" s="669"/>
    </row>
    <row r="86" spans="2:10">
      <c r="G86" s="671">
        <f>summ!E61</f>
        <v>63.972000000000008</v>
      </c>
      <c r="H86" s="673" t="str">
        <f>CONCATENATE("Total ",E1-1," Mill Rate")</f>
        <v>Total 2013 Mill Rate</v>
      </c>
      <c r="I86" s="674"/>
      <c r="J86" s="675"/>
    </row>
    <row r="91" spans="2:10" hidden="1">
      <c r="C91" s="71" t="str">
        <f>IF(C33&gt;C35,"See Tab A","")</f>
        <v/>
      </c>
      <c r="D91" s="71" t="str">
        <f>IF(D33&gt;D35,"See Tab C","")</f>
        <v/>
      </c>
    </row>
    <row r="92" spans="2:10" hidden="1">
      <c r="C92" s="71" t="str">
        <f>IF(C34&lt;0,"See Tab B","")</f>
        <v/>
      </c>
      <c r="D92" s="71" t="str">
        <f>IF(D34&lt;0,"See Tab D","")</f>
        <v/>
      </c>
    </row>
    <row r="93" spans="2:10" hidden="1">
      <c r="C93" s="71" t="str">
        <f>IF(C73&gt;C75,"See Tab A","")</f>
        <v/>
      </c>
      <c r="D93" s="71" t="str">
        <f>IF(D73&gt;D75,"See Tab C","")</f>
        <v/>
      </c>
    </row>
    <row r="94" spans="2:10" hidden="1">
      <c r="C94" s="71" t="str">
        <f>IF(C74&lt;0,"See Tab B","")</f>
        <v/>
      </c>
      <c r="D94" s="71" t="str">
        <f>IF(D74&lt;0,"See Tab D","")</f>
        <v/>
      </c>
    </row>
  </sheetData>
  <sheetProtection sheet="1"/>
  <mergeCells count="12">
    <mergeCell ref="G81:J81"/>
    <mergeCell ref="G24:J24"/>
    <mergeCell ref="G31:J31"/>
    <mergeCell ref="G41:J41"/>
    <mergeCell ref="G64:J64"/>
    <mergeCell ref="G71:J71"/>
    <mergeCell ref="C36:D36"/>
    <mergeCell ref="C37:D37"/>
    <mergeCell ref="C76:D76"/>
    <mergeCell ref="C77:D77"/>
    <mergeCell ref="C80:D80"/>
    <mergeCell ref="C40:D40"/>
  </mergeCells>
  <phoneticPr fontId="0" type="noConversion"/>
  <conditionalFormatting sqref="E71">
    <cfRule type="cellIs" dxfId="232" priority="3" stopIfTrue="1" operator="greaterThan">
      <formula>$E$73*0.1</formula>
    </cfRule>
  </conditionalFormatting>
  <conditionalFormatting sqref="E76">
    <cfRule type="cellIs" dxfId="231" priority="4" stopIfTrue="1" operator="greaterThan">
      <formula>$E$73/0.95-$E$73</formula>
    </cfRule>
  </conditionalFormatting>
  <conditionalFormatting sqref="E36">
    <cfRule type="cellIs" dxfId="230" priority="5" stopIfTrue="1" operator="greaterThan">
      <formula>$E$33/0.95-$E$33</formula>
    </cfRule>
  </conditionalFormatting>
  <conditionalFormatting sqref="E31">
    <cfRule type="cellIs" dxfId="229" priority="6" stopIfTrue="1" operator="greaterThan">
      <formula>$E$33*0.1</formula>
    </cfRule>
  </conditionalFormatting>
  <conditionalFormatting sqref="C74 C34">
    <cfRule type="cellIs" dxfId="228" priority="7" stopIfTrue="1" operator="lessThan">
      <formula>0</formula>
    </cfRule>
  </conditionalFormatting>
  <conditionalFormatting sqref="C73">
    <cfRule type="cellIs" dxfId="227" priority="8" stopIfTrue="1" operator="greaterThan">
      <formula>$C$75</formula>
    </cfRule>
  </conditionalFormatting>
  <conditionalFormatting sqref="D73">
    <cfRule type="cellIs" dxfId="226" priority="9" stopIfTrue="1" operator="greaterThan">
      <formula>$D$75</formula>
    </cfRule>
  </conditionalFormatting>
  <conditionalFormatting sqref="C71">
    <cfRule type="cellIs" dxfId="225" priority="10" stopIfTrue="1" operator="greaterThan">
      <formula>$C$73*0.1</formula>
    </cfRule>
  </conditionalFormatting>
  <conditionalFormatting sqref="D71">
    <cfRule type="cellIs" dxfId="224" priority="11" stopIfTrue="1" operator="greaterThan">
      <formula>$D$73*0.1</formula>
    </cfRule>
  </conditionalFormatting>
  <conditionalFormatting sqref="E58">
    <cfRule type="cellIs" dxfId="223" priority="12" stopIfTrue="1" operator="greaterThan">
      <formula>$E$60*0.1+E80</formula>
    </cfRule>
  </conditionalFormatting>
  <conditionalFormatting sqref="C58">
    <cfRule type="cellIs" dxfId="222" priority="13" stopIfTrue="1" operator="greaterThan">
      <formula>$C$60*0.1</formula>
    </cfRule>
  </conditionalFormatting>
  <conditionalFormatting sqref="D58">
    <cfRule type="cellIs" dxfId="221" priority="14" stopIfTrue="1" operator="greaterThan">
      <formula>$D$60*0.1</formula>
    </cfRule>
  </conditionalFormatting>
  <conditionalFormatting sqref="C33">
    <cfRule type="cellIs" dxfId="220" priority="15" stopIfTrue="1" operator="greaterThan">
      <formula>$C$35</formula>
    </cfRule>
  </conditionalFormatting>
  <conditionalFormatting sqref="D33">
    <cfRule type="cellIs" dxfId="219" priority="16" stopIfTrue="1" operator="greaterThan">
      <formula>$D$35</formula>
    </cfRule>
  </conditionalFormatting>
  <conditionalFormatting sqref="C31">
    <cfRule type="cellIs" dxfId="218" priority="17" stopIfTrue="1" operator="greaterThan">
      <formula>$C$33*0.1</formula>
    </cfRule>
  </conditionalFormatting>
  <conditionalFormatting sqref="D31">
    <cfRule type="cellIs" dxfId="217" priority="18" stopIfTrue="1" operator="greaterThan">
      <formula>$D$33*0.1</formula>
    </cfRule>
  </conditionalFormatting>
  <conditionalFormatting sqref="E18">
    <cfRule type="cellIs" dxfId="216" priority="19" stopIfTrue="1" operator="greaterThan">
      <formula>$E$20*0.1+E40</formula>
    </cfRule>
  </conditionalFormatting>
  <conditionalFormatting sqref="C18">
    <cfRule type="cellIs" dxfId="215" priority="20" stopIfTrue="1" operator="greaterThan">
      <formula>$C$20*0.1</formula>
    </cfRule>
  </conditionalFormatting>
  <conditionalFormatting sqref="D18">
    <cfRule type="cellIs" dxfId="214" priority="21" stopIfTrue="1" operator="greaterThan">
      <formula>$D$20*0.1</formula>
    </cfRule>
  </conditionalFormatting>
  <conditionalFormatting sqref="D34 D74">
    <cfRule type="cellIs" dxfId="213" priority="2" stopIfTrue="1" operator="lessThan">
      <formula>0</formula>
    </cfRule>
  </conditionalFormatting>
  <pageMargins left="1.1200000000000001" right="0.5" top="0.74" bottom="0.34" header="0.5" footer="0"/>
  <pageSetup scale="53" orientation="portrait" blackAndWhite="1" horizontalDpi="120" verticalDpi="144" r:id="rId1"/>
  <headerFooter alignWithMargins="0">
    <oddHeader xml:space="preserve">&amp;RState of Kansas
County
</oddHeader>
  </headerFooter>
</worksheet>
</file>

<file path=xl/worksheets/sheet26.xml><?xml version="1.0" encoding="utf-8"?>
<worksheet xmlns="http://schemas.openxmlformats.org/spreadsheetml/2006/main" xmlns:r="http://schemas.openxmlformats.org/officeDocument/2006/relationships">
  <sheetPr codeName="Sheet21">
    <pageSetUpPr fitToPage="1"/>
  </sheetPr>
  <dimension ref="B1:K94"/>
  <sheetViews>
    <sheetView zoomScaleNormal="100" workbookViewId="0">
      <selection activeCell="F76" sqref="F76"/>
    </sheetView>
  </sheetViews>
  <sheetFormatPr defaultRowHeight="15.75"/>
  <cols>
    <col min="1" max="1" width="2.44140625" style="71" customWidth="1"/>
    <col min="2" max="2" width="31.109375" style="71" customWidth="1"/>
    <col min="3" max="4" width="15.77734375" style="71" customWidth="1"/>
    <col min="5" max="5" width="16.2187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331"/>
      <c r="D3" s="331"/>
      <c r="E3" s="332"/>
    </row>
    <row r="4" spans="2:5">
      <c r="B4" s="83" t="s">
        <v>159</v>
      </c>
      <c r="C4" s="701" t="s">
        <v>842</v>
      </c>
      <c r="D4" s="702" t="s">
        <v>843</v>
      </c>
      <c r="E4" s="214" t="s">
        <v>844</v>
      </c>
    </row>
    <row r="5" spans="2:5">
      <c r="B5" s="482">
        <f>inputPrYr!B35</f>
        <v>0</v>
      </c>
      <c r="C5" s="453" t="str">
        <f>CONCATENATE("Actual for ",E1-2,"")</f>
        <v>Actual for 2012</v>
      </c>
      <c r="D5" s="453" t="str">
        <f>CONCATENATE("Estimate for ",E1-1,"")</f>
        <v>Estimate for 2013</v>
      </c>
      <c r="E5" s="300" t="str">
        <f>CONCATENATE("Year for ",E1,"")</f>
        <v>Year for 2014</v>
      </c>
    </row>
    <row r="6" spans="2:5">
      <c r="B6" s="147" t="s">
        <v>278</v>
      </c>
      <c r="C6" s="450"/>
      <c r="D6" s="454">
        <f>C34</f>
        <v>0</v>
      </c>
      <c r="E6" s="263">
        <f>D34</f>
        <v>0</v>
      </c>
    </row>
    <row r="7" spans="2:5">
      <c r="B7" s="288" t="s">
        <v>280</v>
      </c>
      <c r="C7" s="303"/>
      <c r="D7" s="303"/>
      <c r="E7" s="126"/>
    </row>
    <row r="8" spans="2:5">
      <c r="B8" s="147" t="s">
        <v>160</v>
      </c>
      <c r="C8" s="450"/>
      <c r="D8" s="454">
        <f>IF(inputPrYr!H35&gt;0,inputPrYr!H35,inputPrYr!E35)</f>
        <v>0</v>
      </c>
      <c r="E8" s="335" t="s">
        <v>148</v>
      </c>
    </row>
    <row r="9" spans="2:5">
      <c r="B9" s="147" t="s">
        <v>161</v>
      </c>
      <c r="C9" s="450"/>
      <c r="D9" s="450"/>
      <c r="E9" s="111"/>
    </row>
    <row r="10" spans="2:5">
      <c r="B10" s="147" t="s">
        <v>162</v>
      </c>
      <c r="C10" s="450"/>
      <c r="D10" s="450"/>
      <c r="E10" s="263" t="str">
        <f>mvalloc!E26</f>
        <v xml:space="preserve">  </v>
      </c>
    </row>
    <row r="11" spans="2:5">
      <c r="B11" s="147" t="s">
        <v>163</v>
      </c>
      <c r="C11" s="450"/>
      <c r="D11" s="450"/>
      <c r="E11" s="263" t="str">
        <f>mvalloc!F26</f>
        <v xml:space="preserve">  </v>
      </c>
    </row>
    <row r="12" spans="2:5">
      <c r="B12" s="303" t="s">
        <v>227</v>
      </c>
      <c r="C12" s="450"/>
      <c r="D12" s="450"/>
      <c r="E12" s="263" t="str">
        <f>mvalloc!G26</f>
        <v xml:space="preserve">  </v>
      </c>
    </row>
    <row r="13" spans="2:5">
      <c r="B13" s="316"/>
      <c r="C13" s="450"/>
      <c r="D13" s="450"/>
      <c r="E13" s="111"/>
    </row>
    <row r="14" spans="2:5">
      <c r="B14" s="316"/>
      <c r="C14" s="450"/>
      <c r="D14" s="450"/>
      <c r="E14" s="111"/>
    </row>
    <row r="15" spans="2:5">
      <c r="B15" s="316"/>
      <c r="C15" s="450"/>
      <c r="D15" s="450"/>
      <c r="E15" s="111"/>
    </row>
    <row r="16" spans="2:5">
      <c r="B16" s="316"/>
      <c r="C16" s="450"/>
      <c r="D16" s="450"/>
      <c r="E16" s="111"/>
    </row>
    <row r="17" spans="2:10">
      <c r="B17" s="306" t="s">
        <v>167</v>
      </c>
      <c r="C17" s="450"/>
      <c r="D17" s="450"/>
      <c r="E17" s="111"/>
    </row>
    <row r="18" spans="2:10">
      <c r="B18" s="307" t="s">
        <v>75</v>
      </c>
      <c r="C18" s="450"/>
      <c r="D18" s="450"/>
      <c r="E18" s="111"/>
    </row>
    <row r="19" spans="2:10">
      <c r="B19" s="307" t="s">
        <v>682</v>
      </c>
      <c r="C19" s="451" t="str">
        <f>IF(C20*0.1&lt;C18,"Exceed 10% Rule","")</f>
        <v/>
      </c>
      <c r="D19" s="451" t="str">
        <f>IF(D20*0.1&lt;D18,"Exceed 10% Rule","")</f>
        <v/>
      </c>
      <c r="E19" s="342" t="str">
        <f>IF(E20*0.1+E40&lt;E18,"Exceed 10% Rule","")</f>
        <v/>
      </c>
    </row>
    <row r="20" spans="2:10">
      <c r="B20" s="309" t="s">
        <v>168</v>
      </c>
      <c r="C20" s="452">
        <f>SUM(C8:C18)</f>
        <v>0</v>
      </c>
      <c r="D20" s="452">
        <f>SUM(D8:D18)</f>
        <v>0</v>
      </c>
      <c r="E20" s="350">
        <f>SUM(E8:E18)</f>
        <v>0</v>
      </c>
    </row>
    <row r="21" spans="2:10">
      <c r="B21" s="309" t="s">
        <v>169</v>
      </c>
      <c r="C21" s="452">
        <f>C6+C20</f>
        <v>0</v>
      </c>
      <c r="D21" s="452">
        <f>D6+D20</f>
        <v>0</v>
      </c>
      <c r="E21" s="350">
        <f>E6+E20</f>
        <v>0</v>
      </c>
    </row>
    <row r="22" spans="2:10">
      <c r="B22" s="147" t="s">
        <v>172</v>
      </c>
      <c r="C22" s="307"/>
      <c r="D22" s="307"/>
      <c r="E22" s="107"/>
    </row>
    <row r="23" spans="2:10">
      <c r="B23" s="316"/>
      <c r="C23" s="450"/>
      <c r="D23" s="450"/>
      <c r="E23" s="111"/>
    </row>
    <row r="24" spans="2:10">
      <c r="B24" s="316"/>
      <c r="C24" s="450"/>
      <c r="D24" s="450"/>
      <c r="E24" s="111"/>
      <c r="G24" s="800" t="str">
        <f>CONCATENATE("Desired Carryover Into ",E1+1,"")</f>
        <v>Desired Carryover Into 2015</v>
      </c>
      <c r="H24" s="801"/>
      <c r="I24" s="801"/>
      <c r="J24" s="802"/>
    </row>
    <row r="25" spans="2:10">
      <c r="B25" s="316"/>
      <c r="C25" s="450"/>
      <c r="D25" s="450"/>
      <c r="E25" s="111"/>
      <c r="G25" s="648"/>
      <c r="H25" s="649"/>
      <c r="I25" s="650"/>
      <c r="J25" s="651"/>
    </row>
    <row r="26" spans="2:10">
      <c r="B26" s="316"/>
      <c r="C26" s="450"/>
      <c r="D26" s="450"/>
      <c r="E26" s="111"/>
      <c r="G26" s="652" t="s">
        <v>688</v>
      </c>
      <c r="H26" s="650"/>
      <c r="I26" s="650"/>
      <c r="J26" s="653">
        <v>0</v>
      </c>
    </row>
    <row r="27" spans="2:10">
      <c r="B27" s="316"/>
      <c r="C27" s="450"/>
      <c r="D27" s="450"/>
      <c r="E27" s="111"/>
      <c r="G27" s="648" t="s">
        <v>689</v>
      </c>
      <c r="H27" s="649"/>
      <c r="I27" s="649"/>
      <c r="J27" s="654" t="str">
        <f>IF(J26=0,"",ROUND((J26+E40-G39)/inputOth!E6*1000,3)-G44)</f>
        <v/>
      </c>
    </row>
    <row r="28" spans="2:10">
      <c r="B28" s="316"/>
      <c r="C28" s="450"/>
      <c r="D28" s="450"/>
      <c r="E28" s="111"/>
      <c r="G28" s="655" t="str">
        <f>CONCATENATE("",E1," Tot Exp/Non-Appr Must Be:")</f>
        <v>2014 Tot Exp/Non-Appr Must Be:</v>
      </c>
      <c r="H28" s="656"/>
      <c r="I28" s="657"/>
      <c r="J28" s="658">
        <f>IF(J26&gt;0,IF(E37&lt;E21,IF(J26=G39,E37,((J26-G39)*(1-D39))+E21),E37+(J26-G39)),0)</f>
        <v>0</v>
      </c>
    </row>
    <row r="29" spans="2:10">
      <c r="B29" s="316"/>
      <c r="C29" s="450"/>
      <c r="D29" s="450"/>
      <c r="E29" s="111"/>
      <c r="G29" s="659" t="s">
        <v>840</v>
      </c>
      <c r="H29" s="660"/>
      <c r="I29" s="660"/>
      <c r="J29" s="661">
        <f>IF(J26&gt;0,J28-E37,0)</f>
        <v>0</v>
      </c>
    </row>
    <row r="30" spans="2:10">
      <c r="B30" s="307" t="s">
        <v>77</v>
      </c>
      <c r="C30" s="450"/>
      <c r="D30" s="450"/>
      <c r="E30" s="119" t="str">
        <f>Nhood!E25</f>
        <v/>
      </c>
      <c r="G30" s="1"/>
      <c r="H30" s="1"/>
      <c r="I30" s="1"/>
      <c r="J30" s="1"/>
    </row>
    <row r="31" spans="2:10">
      <c r="B31" s="307" t="s">
        <v>75</v>
      </c>
      <c r="C31" s="450"/>
      <c r="D31" s="450"/>
      <c r="E31" s="111"/>
      <c r="G31" s="800" t="str">
        <f>CONCATENATE("Projected Carryover Into ",E1+1,"")</f>
        <v>Projected Carryover Into 2015</v>
      </c>
      <c r="H31" s="807"/>
      <c r="I31" s="807"/>
      <c r="J31" s="808"/>
    </row>
    <row r="32" spans="2:10">
      <c r="B32" s="307" t="s">
        <v>681</v>
      </c>
      <c r="C32" s="451" t="str">
        <f>IF(C33*0.1&lt;C31,"Exceed 10% Rule","")</f>
        <v/>
      </c>
      <c r="D32" s="451" t="str">
        <f>IF(D33*0.1&lt;D31,"Exceed 10% Rule","")</f>
        <v/>
      </c>
      <c r="E32" s="342" t="str">
        <f>IF(E33*0.1&lt;E31,"Exceed 10% Rule","")</f>
        <v/>
      </c>
      <c r="G32" s="648"/>
      <c r="H32" s="650"/>
      <c r="I32" s="650"/>
      <c r="J32" s="676"/>
    </row>
    <row r="33" spans="2:11">
      <c r="B33" s="309" t="s">
        <v>173</v>
      </c>
      <c r="C33" s="452">
        <f>SUM(C23:C31)</f>
        <v>0</v>
      </c>
      <c r="D33" s="452">
        <f>SUM(D23:D31)</f>
        <v>0</v>
      </c>
      <c r="E33" s="350">
        <f>SUM(E23:E31)</f>
        <v>0</v>
      </c>
      <c r="G33" s="677">
        <f>D34</f>
        <v>0</v>
      </c>
      <c r="H33" s="667" t="str">
        <f>CONCATENATE("",E1-1," Ending Cash Balance (est.)")</f>
        <v>2013 Ending Cash Balance (est.)</v>
      </c>
      <c r="I33" s="678"/>
      <c r="J33" s="676"/>
    </row>
    <row r="34" spans="2:11">
      <c r="B34" s="147" t="s">
        <v>279</v>
      </c>
      <c r="C34" s="455">
        <f>C21-C33</f>
        <v>0</v>
      </c>
      <c r="D34" s="455">
        <f>D21-D33</f>
        <v>0</v>
      </c>
      <c r="E34" s="335" t="s">
        <v>148</v>
      </c>
      <c r="G34" s="677">
        <f>E20</f>
        <v>0</v>
      </c>
      <c r="H34" s="650" t="str">
        <f>CONCATENATE("",E1," Non-AV Receipts (est.)")</f>
        <v>2014 Non-AV Receipts (est.)</v>
      </c>
      <c r="I34" s="678"/>
      <c r="J34" s="676"/>
    </row>
    <row r="35" spans="2:11">
      <c r="B35" s="285" t="str">
        <f>CONCATENATE("",E$1-2,"/",E$1-1," Budget Authority Amount:")</f>
        <v>2012/2013 Budget Authority Amount:</v>
      </c>
      <c r="C35" s="277">
        <f>inputOth!B49</f>
        <v>0</v>
      </c>
      <c r="D35" s="277">
        <f>inputPrYr!D35</f>
        <v>0</v>
      </c>
      <c r="E35" s="335" t="s">
        <v>148</v>
      </c>
      <c r="F35" s="318"/>
      <c r="G35" s="679">
        <f>IF(E39&gt;0,E38,E40)</f>
        <v>0</v>
      </c>
      <c r="H35" s="650" t="str">
        <f>CONCATENATE("",E1," Ad Valorem Tax (est.)")</f>
        <v>2014 Ad Valorem Tax (est.)</v>
      </c>
      <c r="I35" s="678"/>
      <c r="J35" s="676"/>
      <c r="K35" s="664" t="str">
        <f>IF(G35=E40,"","Note: Does not include Delinquent Taxes")</f>
        <v/>
      </c>
    </row>
    <row r="36" spans="2:11">
      <c r="B36" s="285"/>
      <c r="C36" s="790" t="s">
        <v>685</v>
      </c>
      <c r="D36" s="791"/>
      <c r="E36" s="111"/>
      <c r="F36" s="500" t="str">
        <f>IF(E33/0.95-E33&lt;E36,"Exceeds 5%","")</f>
        <v/>
      </c>
      <c r="G36" s="677">
        <f>SUM(G33:G35)</f>
        <v>0</v>
      </c>
      <c r="H36" s="650" t="str">
        <f>CONCATENATE("Total ",E1," Resources Available")</f>
        <v>Total 2014 Resources Available</v>
      </c>
      <c r="I36" s="678"/>
      <c r="J36" s="676"/>
    </row>
    <row r="37" spans="2:11">
      <c r="B37" s="504" t="str">
        <f>CONCATENATE(C91,"     ",D91)</f>
        <v xml:space="preserve">     </v>
      </c>
      <c r="C37" s="792" t="s">
        <v>686</v>
      </c>
      <c r="D37" s="793"/>
      <c r="E37" s="263">
        <f>E33+E36</f>
        <v>0</v>
      </c>
      <c r="G37" s="680"/>
      <c r="H37" s="650"/>
      <c r="I37" s="650"/>
      <c r="J37" s="676"/>
    </row>
    <row r="38" spans="2:11">
      <c r="B38" s="504" t="str">
        <f>CONCATENATE(C92,"     ",D92)</f>
        <v xml:space="preserve">     </v>
      </c>
      <c r="C38" s="319"/>
      <c r="D38" s="238" t="s">
        <v>174</v>
      </c>
      <c r="E38" s="119">
        <f>IF(E37-E21&gt;0,E37-E21,0)</f>
        <v>0</v>
      </c>
      <c r="G38" s="679">
        <f>ROUND(C33*0.05+C33,0)</f>
        <v>0</v>
      </c>
      <c r="H38" s="650" t="str">
        <f>CONCATENATE("Less ",E1-2," Expenditures + 5%")</f>
        <v>Less 2012 Expenditures + 5%</v>
      </c>
      <c r="I38" s="678"/>
      <c r="J38" s="681"/>
    </row>
    <row r="39" spans="2:11">
      <c r="B39" s="238"/>
      <c r="C39" s="502" t="s">
        <v>687</v>
      </c>
      <c r="D39" s="647">
        <f>inputOth!$E$23</f>
        <v>0.03</v>
      </c>
      <c r="E39" s="263">
        <f>ROUND(IF(D39&gt;0,($E$38*D39),0),0)</f>
        <v>0</v>
      </c>
      <c r="G39" s="682">
        <f>G36-G38</f>
        <v>0</v>
      </c>
      <c r="H39" s="683" t="str">
        <f>CONCATENATE("Projected ",E1+1," carryover (est.)")</f>
        <v>Projected 2015 carryover (est.)</v>
      </c>
      <c r="I39" s="684"/>
      <c r="J39" s="685"/>
    </row>
    <row r="40" spans="2:11">
      <c r="B40" s="84"/>
      <c r="C40" s="798" t="str">
        <f>CONCATENATE("Amount of  ",$E$1-1," Ad Valorem Tax")</f>
        <v>Amount of  2013 Ad Valorem Tax</v>
      </c>
      <c r="D40" s="799"/>
      <c r="E40" s="346">
        <f>E38+E39</f>
        <v>0</v>
      </c>
      <c r="G40" s="1"/>
      <c r="H40" s="1"/>
      <c r="I40" s="1"/>
      <c r="J40" s="1"/>
    </row>
    <row r="41" spans="2:11">
      <c r="B41" s="84"/>
      <c r="C41" s="325"/>
      <c r="D41" s="325"/>
      <c r="E41" s="325"/>
      <c r="G41" s="803" t="s">
        <v>841</v>
      </c>
      <c r="H41" s="804"/>
      <c r="I41" s="804"/>
      <c r="J41" s="805"/>
    </row>
    <row r="42" spans="2:11">
      <c r="B42" s="83" t="s">
        <v>159</v>
      </c>
      <c r="C42" s="701" t="str">
        <f t="shared" ref="C42:E43" si="0">C4</f>
        <v xml:space="preserve">Prior Year </v>
      </c>
      <c r="D42" s="702" t="str">
        <f t="shared" si="0"/>
        <v xml:space="preserve">Current Year </v>
      </c>
      <c r="E42" s="214" t="str">
        <f t="shared" si="0"/>
        <v xml:space="preserve">Proposed Budget </v>
      </c>
      <c r="G42" s="666"/>
      <c r="H42" s="667"/>
      <c r="I42" s="668"/>
      <c r="J42" s="669"/>
    </row>
    <row r="43" spans="2:11">
      <c r="B43" s="481">
        <f>inputPrYr!B36</f>
        <v>0</v>
      </c>
      <c r="C43" s="453" t="str">
        <f t="shared" si="0"/>
        <v>Actual for 2012</v>
      </c>
      <c r="D43" s="453" t="str">
        <f t="shared" si="0"/>
        <v>Estimate for 2013</v>
      </c>
      <c r="E43" s="300" t="str">
        <f t="shared" si="0"/>
        <v>Year for 2014</v>
      </c>
      <c r="G43" s="670" t="str">
        <f>summ!H35</f>
        <v xml:space="preserve">  </v>
      </c>
      <c r="H43" s="667" t="str">
        <f>CONCATENATE("",E1," Fund Mill Rate")</f>
        <v>2014 Fund Mill Rate</v>
      </c>
      <c r="I43" s="668"/>
      <c r="J43" s="669"/>
    </row>
    <row r="44" spans="2:11">
      <c r="B44" s="147" t="s">
        <v>278</v>
      </c>
      <c r="C44" s="450"/>
      <c r="D44" s="454">
        <f>C74</f>
        <v>0</v>
      </c>
      <c r="E44" s="263">
        <f>D74</f>
        <v>0</v>
      </c>
      <c r="G44" s="671" t="str">
        <f>summ!E35</f>
        <v xml:space="preserve">  </v>
      </c>
      <c r="H44" s="667" t="str">
        <f>CONCATENATE("",E1-1," Fund Mill Rate")</f>
        <v>2013 Fund Mill Rate</v>
      </c>
      <c r="I44" s="668"/>
      <c r="J44" s="669"/>
    </row>
    <row r="45" spans="2:11">
      <c r="B45" s="301" t="s">
        <v>280</v>
      </c>
      <c r="C45" s="303"/>
      <c r="D45" s="303"/>
      <c r="E45" s="126"/>
      <c r="G45" s="672">
        <f>summ!H61</f>
        <v>56.5124</v>
      </c>
      <c r="H45" s="667" t="str">
        <f>CONCATENATE("Total ",E1," Mill Rate")</f>
        <v>Total 2014 Mill Rate</v>
      </c>
      <c r="I45" s="668"/>
      <c r="J45" s="669"/>
    </row>
    <row r="46" spans="2:11">
      <c r="B46" s="147" t="s">
        <v>160</v>
      </c>
      <c r="C46" s="450"/>
      <c r="D46" s="454">
        <f>IF(inputPrYr!H36&gt;0,inputPrYr!H36,inputPrYr!E36)</f>
        <v>0</v>
      </c>
      <c r="E46" s="335" t="s">
        <v>148</v>
      </c>
      <c r="G46" s="671">
        <f>summ!E61</f>
        <v>63.972000000000008</v>
      </c>
      <c r="H46" s="673" t="str">
        <f>CONCATENATE("Total ",E1-1," Mill Rate")</f>
        <v>Total 2013 Mill Rate</v>
      </c>
      <c r="I46" s="674"/>
      <c r="J46" s="675"/>
    </row>
    <row r="47" spans="2:11">
      <c r="B47" s="147" t="s">
        <v>161</v>
      </c>
      <c r="C47" s="450"/>
      <c r="D47" s="450"/>
      <c r="E47" s="111"/>
      <c r="G47" s="1"/>
      <c r="H47" s="1"/>
      <c r="I47" s="1"/>
      <c r="J47" s="1"/>
    </row>
    <row r="48" spans="2:11">
      <c r="B48" s="147" t="s">
        <v>162</v>
      </c>
      <c r="C48" s="450"/>
      <c r="D48" s="450"/>
      <c r="E48" s="263" t="str">
        <f>mvalloc!E27</f>
        <v xml:space="preserve">  </v>
      </c>
      <c r="G48" s="1"/>
      <c r="H48" s="1"/>
      <c r="I48" s="1"/>
      <c r="J48" s="1"/>
    </row>
    <row r="49" spans="2:10">
      <c r="B49" s="147" t="s">
        <v>163</v>
      </c>
      <c r="C49" s="450"/>
      <c r="D49" s="450"/>
      <c r="E49" s="263" t="str">
        <f>mvalloc!F27</f>
        <v xml:space="preserve">  </v>
      </c>
      <c r="G49" s="1"/>
      <c r="H49" s="1"/>
      <c r="I49" s="1"/>
      <c r="J49" s="1"/>
    </row>
    <row r="50" spans="2:10">
      <c r="B50" s="303" t="s">
        <v>227</v>
      </c>
      <c r="C50" s="450"/>
      <c r="D50" s="450"/>
      <c r="E50" s="263" t="str">
        <f>mvalloc!G27</f>
        <v xml:space="preserve">  </v>
      </c>
      <c r="G50" s="1"/>
      <c r="H50" s="1"/>
      <c r="I50" s="1"/>
      <c r="J50" s="1"/>
    </row>
    <row r="51" spans="2:10">
      <c r="B51" s="316"/>
      <c r="C51" s="450"/>
      <c r="D51" s="450"/>
      <c r="E51" s="111"/>
      <c r="G51" s="1"/>
      <c r="H51" s="1"/>
      <c r="I51" s="1"/>
      <c r="J51" s="1"/>
    </row>
    <row r="52" spans="2:10">
      <c r="B52" s="316"/>
      <c r="C52" s="450"/>
      <c r="D52" s="450"/>
      <c r="E52" s="111"/>
      <c r="G52" s="1"/>
      <c r="H52" s="1"/>
      <c r="I52" s="1"/>
      <c r="J52" s="1"/>
    </row>
    <row r="53" spans="2:10">
      <c r="B53" s="316"/>
      <c r="C53" s="450"/>
      <c r="D53" s="450"/>
      <c r="E53" s="111"/>
      <c r="G53" s="1"/>
      <c r="H53" s="1"/>
      <c r="I53" s="1"/>
      <c r="J53" s="1"/>
    </row>
    <row r="54" spans="2:10">
      <c r="B54" s="316"/>
      <c r="C54" s="450"/>
      <c r="D54" s="450"/>
      <c r="E54" s="111"/>
      <c r="G54" s="1"/>
      <c r="H54" s="1"/>
      <c r="I54" s="1"/>
      <c r="J54" s="1"/>
    </row>
    <row r="55" spans="2:10">
      <c r="B55" s="316"/>
      <c r="C55" s="450"/>
      <c r="D55" s="450"/>
      <c r="E55" s="111"/>
      <c r="G55" s="1"/>
      <c r="H55" s="1"/>
      <c r="I55" s="1"/>
      <c r="J55" s="1"/>
    </row>
    <row r="56" spans="2:10">
      <c r="B56" s="316"/>
      <c r="C56" s="450"/>
      <c r="D56" s="450"/>
      <c r="E56" s="111"/>
      <c r="G56" s="1"/>
      <c r="H56" s="1"/>
      <c r="I56" s="1"/>
      <c r="J56" s="1"/>
    </row>
    <row r="57" spans="2:10">
      <c r="B57" s="306" t="s">
        <v>167</v>
      </c>
      <c r="C57" s="450"/>
      <c r="D57" s="450"/>
      <c r="E57" s="111"/>
      <c r="G57" s="1"/>
      <c r="H57" s="1"/>
      <c r="I57" s="1"/>
      <c r="J57" s="1"/>
    </row>
    <row r="58" spans="2:10">
      <c r="B58" s="307" t="s">
        <v>75</v>
      </c>
      <c r="C58" s="450"/>
      <c r="D58" s="450"/>
      <c r="E58" s="111"/>
      <c r="G58" s="1"/>
      <c r="H58" s="1"/>
      <c r="I58" s="1"/>
      <c r="J58" s="1"/>
    </row>
    <row r="59" spans="2:10">
      <c r="B59" s="307" t="s">
        <v>682</v>
      </c>
      <c r="C59" s="451" t="str">
        <f>IF(C60*0.1&lt;C58,"Exceed 10% Rule","")</f>
        <v/>
      </c>
      <c r="D59" s="451" t="str">
        <f>IF(D60*0.1&lt;D58,"Exceed 10% Rule","")</f>
        <v/>
      </c>
      <c r="E59" s="342" t="str">
        <f>IF(E60*0.1+E80&lt;E58,"Exceed 10% Rule","")</f>
        <v/>
      </c>
      <c r="G59" s="1"/>
      <c r="H59" s="1"/>
      <c r="I59" s="1"/>
      <c r="J59" s="1"/>
    </row>
    <row r="60" spans="2:10">
      <c r="B60" s="309" t="s">
        <v>168</v>
      </c>
      <c r="C60" s="452">
        <f>SUM(C46:C58)</f>
        <v>0</v>
      </c>
      <c r="D60" s="452">
        <f>SUM(D46:D58)</f>
        <v>0</v>
      </c>
      <c r="E60" s="350">
        <f>SUM(E46:E58)</f>
        <v>0</v>
      </c>
      <c r="G60" s="1"/>
      <c r="H60" s="1"/>
      <c r="I60" s="1"/>
      <c r="J60" s="1"/>
    </row>
    <row r="61" spans="2:10">
      <c r="B61" s="309" t="s">
        <v>169</v>
      </c>
      <c r="C61" s="452">
        <f>C44+C60</f>
        <v>0</v>
      </c>
      <c r="D61" s="452">
        <f>D44+D60</f>
        <v>0</v>
      </c>
      <c r="E61" s="350">
        <f>E44+E60</f>
        <v>0</v>
      </c>
      <c r="G61" s="1"/>
      <c r="H61" s="1"/>
      <c r="I61" s="1"/>
      <c r="J61" s="1"/>
    </row>
    <row r="62" spans="2:10">
      <c r="B62" s="147" t="s">
        <v>172</v>
      </c>
      <c r="C62" s="307"/>
      <c r="D62" s="307"/>
      <c r="E62" s="107"/>
      <c r="G62" s="1"/>
      <c r="H62" s="1"/>
      <c r="I62" s="1"/>
      <c r="J62" s="1"/>
    </row>
    <row r="63" spans="2:10">
      <c r="B63" s="316"/>
      <c r="C63" s="450"/>
      <c r="D63" s="450"/>
      <c r="E63" s="111"/>
      <c r="G63" s="1"/>
      <c r="H63" s="1"/>
      <c r="I63" s="1"/>
      <c r="J63" s="1"/>
    </row>
    <row r="64" spans="2:10">
      <c r="B64" s="316"/>
      <c r="C64" s="450"/>
      <c r="D64" s="450"/>
      <c r="E64" s="111"/>
      <c r="G64" s="800" t="str">
        <f>CONCATENATE("Desired Carryover Into ",E1+1,"")</f>
        <v>Desired Carryover Into 2015</v>
      </c>
      <c r="H64" s="801"/>
      <c r="I64" s="801"/>
      <c r="J64" s="802"/>
    </row>
    <row r="65" spans="2:11">
      <c r="B65" s="316"/>
      <c r="C65" s="450"/>
      <c r="D65" s="450"/>
      <c r="E65" s="111"/>
      <c r="G65" s="648"/>
      <c r="H65" s="649"/>
      <c r="I65" s="650"/>
      <c r="J65" s="651"/>
    </row>
    <row r="66" spans="2:11">
      <c r="B66" s="316"/>
      <c r="C66" s="450"/>
      <c r="D66" s="450"/>
      <c r="E66" s="111"/>
      <c r="G66" s="652" t="s">
        <v>688</v>
      </c>
      <c r="H66" s="650"/>
      <c r="I66" s="650"/>
      <c r="J66" s="653">
        <v>0</v>
      </c>
    </row>
    <row r="67" spans="2:11">
      <c r="B67" s="316"/>
      <c r="C67" s="450"/>
      <c r="D67" s="450"/>
      <c r="E67" s="111"/>
      <c r="G67" s="648" t="s">
        <v>689</v>
      </c>
      <c r="H67" s="649"/>
      <c r="I67" s="649"/>
      <c r="J67" s="654" t="str">
        <f>IF(J66=0,"",ROUND((J66+E80-G79)/inputOth!E6*1000,3)-G84)</f>
        <v/>
      </c>
    </row>
    <row r="68" spans="2:11">
      <c r="B68" s="316"/>
      <c r="C68" s="450"/>
      <c r="D68" s="450"/>
      <c r="E68" s="111"/>
      <c r="G68" s="655" t="str">
        <f>CONCATENATE("",E1," Tot Exp/Non-Appr Must Be:")</f>
        <v>2014 Tot Exp/Non-Appr Must Be:</v>
      </c>
      <c r="H68" s="656"/>
      <c r="I68" s="657"/>
      <c r="J68" s="658">
        <f>IF(J66&gt;0,IF(E77&lt;E61,IF(J66=G79,E77,((J66-G79)*(1-D79))+E61),E77+(J66-G79)),0)</f>
        <v>0</v>
      </c>
    </row>
    <row r="69" spans="2:11">
      <c r="B69" s="316"/>
      <c r="C69" s="450"/>
      <c r="D69" s="450"/>
      <c r="E69" s="111"/>
      <c r="G69" s="659" t="s">
        <v>840</v>
      </c>
      <c r="H69" s="660"/>
      <c r="I69" s="660"/>
      <c r="J69" s="661">
        <f>IF(J66&gt;0,J68-E77,0)</f>
        <v>0</v>
      </c>
    </row>
    <row r="70" spans="2:11">
      <c r="B70" s="307" t="s">
        <v>77</v>
      </c>
      <c r="C70" s="450"/>
      <c r="D70" s="450"/>
      <c r="E70" s="119" t="str">
        <f>Nhood!E26</f>
        <v/>
      </c>
      <c r="G70" s="1"/>
      <c r="H70" s="1"/>
      <c r="I70" s="1"/>
      <c r="J70" s="1"/>
    </row>
    <row r="71" spans="2:11">
      <c r="B71" s="307" t="s">
        <v>75</v>
      </c>
      <c r="C71" s="450"/>
      <c r="D71" s="450"/>
      <c r="E71" s="111"/>
      <c r="G71" s="800" t="str">
        <f>CONCATENATE("Projected Carryover Into ",E1+1,"")</f>
        <v>Projected Carryover Into 2015</v>
      </c>
      <c r="H71" s="809"/>
      <c r="I71" s="809"/>
      <c r="J71" s="808"/>
    </row>
    <row r="72" spans="2:11">
      <c r="B72" s="307" t="s">
        <v>681</v>
      </c>
      <c r="C72" s="451" t="str">
        <f>IF(C73*0.1&lt;C71,"Exceed 10% Rule","")</f>
        <v/>
      </c>
      <c r="D72" s="451" t="str">
        <f>IF(D73*0.1&lt;D71,"Exceed 10% Rule","")</f>
        <v/>
      </c>
      <c r="E72" s="342" t="str">
        <f>IF(E73*0.1&lt;E71,"Exceed 10% Rule","")</f>
        <v/>
      </c>
      <c r="G72" s="686"/>
      <c r="H72" s="649"/>
      <c r="I72" s="649"/>
      <c r="J72" s="681"/>
    </row>
    <row r="73" spans="2:11">
      <c r="B73" s="309" t="s">
        <v>173</v>
      </c>
      <c r="C73" s="452">
        <f>SUM(C63:C71)</f>
        <v>0</v>
      </c>
      <c r="D73" s="452">
        <f>SUM(D63:D71)</f>
        <v>0</v>
      </c>
      <c r="E73" s="350">
        <f>SUM(E63:E71)</f>
        <v>0</v>
      </c>
      <c r="G73" s="677">
        <f>D74</f>
        <v>0</v>
      </c>
      <c r="H73" s="667" t="str">
        <f>CONCATENATE("",E1-1," Ending Cash Balance (est.)")</f>
        <v>2013 Ending Cash Balance (est.)</v>
      </c>
      <c r="I73" s="678"/>
      <c r="J73" s="681"/>
    </row>
    <row r="74" spans="2:11">
      <c r="B74" s="147" t="s">
        <v>279</v>
      </c>
      <c r="C74" s="455">
        <f>C61-C73</f>
        <v>0</v>
      </c>
      <c r="D74" s="455">
        <f>D61-D73</f>
        <v>0</v>
      </c>
      <c r="E74" s="335" t="s">
        <v>148</v>
      </c>
      <c r="G74" s="677">
        <f>E60</f>
        <v>0</v>
      </c>
      <c r="H74" s="650" t="str">
        <f>CONCATENATE("",E1," Non-AV Receipts (est.)")</f>
        <v>2014 Non-AV Receipts (est.)</v>
      </c>
      <c r="I74" s="678"/>
      <c r="J74" s="681"/>
    </row>
    <row r="75" spans="2:11">
      <c r="B75" s="285" t="str">
        <f>CONCATENATE("",E$1-2,"/",E$1-1," Budget Authority Amount:")</f>
        <v>2012/2013 Budget Authority Amount:</v>
      </c>
      <c r="C75" s="277">
        <f>inputOth!B50</f>
        <v>0</v>
      </c>
      <c r="D75" s="277">
        <f>inputPrYr!D36</f>
        <v>0</v>
      </c>
      <c r="E75" s="335" t="s">
        <v>148</v>
      </c>
      <c r="F75" s="318"/>
      <c r="G75" s="679">
        <f>IF(E79&gt;0,E78,E80)</f>
        <v>0</v>
      </c>
      <c r="H75" s="650" t="str">
        <f>CONCATENATE("",E1," Ad Valorem Tax (est.)")</f>
        <v>2014 Ad Valorem Tax (est.)</v>
      </c>
      <c r="I75" s="678"/>
      <c r="J75" s="681"/>
      <c r="K75" s="664" t="str">
        <f>IF(G75=E80,"","Note: Does not include Delinquent Taxes")</f>
        <v/>
      </c>
    </row>
    <row r="76" spans="2:11">
      <c r="B76" s="285"/>
      <c r="C76" s="790" t="s">
        <v>685</v>
      </c>
      <c r="D76" s="791"/>
      <c r="E76" s="111"/>
      <c r="F76" s="500" t="str">
        <f>IF(E73/0.95-E73&lt;E76,"Exceeds 5%","")</f>
        <v/>
      </c>
      <c r="G76" s="687">
        <f>SUM(G73:G75)</f>
        <v>0</v>
      </c>
      <c r="H76" s="650" t="str">
        <f>CONCATENATE("Total ",E1," Resources Available")</f>
        <v>Total 2014 Resources Available</v>
      </c>
      <c r="I76" s="688"/>
      <c r="J76" s="681"/>
    </row>
    <row r="77" spans="2:11">
      <c r="B77" s="503" t="str">
        <f>CONCATENATE(C93,"     ",D93)</f>
        <v xml:space="preserve">     </v>
      </c>
      <c r="C77" s="792" t="s">
        <v>686</v>
      </c>
      <c r="D77" s="793"/>
      <c r="E77" s="263">
        <f>E73+E76</f>
        <v>0</v>
      </c>
      <c r="G77" s="689"/>
      <c r="H77" s="690"/>
      <c r="I77" s="649"/>
      <c r="J77" s="681"/>
    </row>
    <row r="78" spans="2:11">
      <c r="B78" s="503" t="str">
        <f>CONCATENATE(C94,"     ",D94)</f>
        <v xml:space="preserve">     </v>
      </c>
      <c r="C78" s="319"/>
      <c r="D78" s="238" t="s">
        <v>174</v>
      </c>
      <c r="E78" s="119">
        <f>IF(E77-E61&gt;0,E77-E61,0)</f>
        <v>0</v>
      </c>
      <c r="G78" s="691">
        <f>ROUND(C73*0.05+C73,0)</f>
        <v>0</v>
      </c>
      <c r="H78" s="650" t="str">
        <f>CONCATENATE("Less ",E1-2," Expenditures + 5%")</f>
        <v>Less 2012 Expenditures + 5%</v>
      </c>
      <c r="I78" s="688"/>
      <c r="J78" s="681"/>
    </row>
    <row r="79" spans="2:11">
      <c r="B79" s="238"/>
      <c r="C79" s="502" t="s">
        <v>687</v>
      </c>
      <c r="D79" s="647">
        <f>inputOth!$E$23</f>
        <v>0.03</v>
      </c>
      <c r="E79" s="263">
        <f>ROUND(IF(D79&gt;0,($E$78*D79),0),0)</f>
        <v>0</v>
      </c>
      <c r="G79" s="692">
        <f>G76-G78</f>
        <v>0</v>
      </c>
      <c r="H79" s="683" t="str">
        <f>CONCATENATE("Projected ",E1+1," carryover (est.)")</f>
        <v>Projected 2015 carryover (est.)</v>
      </c>
      <c r="I79" s="693"/>
      <c r="J79" s="694"/>
    </row>
    <row r="80" spans="2:11">
      <c r="B80" s="84"/>
      <c r="C80" s="798" t="str">
        <f>CONCATENATE("Amount of  ",$E$1-1," Ad Valorem Tax")</f>
        <v>Amount of  2013 Ad Valorem Tax</v>
      </c>
      <c r="D80" s="799"/>
      <c r="E80" s="346">
        <f>E78+E79</f>
        <v>0</v>
      </c>
      <c r="G80" s="1"/>
      <c r="H80" s="1"/>
      <c r="I80" s="1"/>
      <c r="J80" s="1"/>
    </row>
    <row r="81" spans="2:10">
      <c r="B81" s="285" t="s">
        <v>188</v>
      </c>
      <c r="C81" s="347"/>
      <c r="D81" s="84"/>
      <c r="E81" s="84"/>
      <c r="G81" s="803" t="s">
        <v>841</v>
      </c>
      <c r="H81" s="804"/>
      <c r="I81" s="804"/>
      <c r="J81" s="805"/>
    </row>
    <row r="82" spans="2:10">
      <c r="G82" s="666"/>
      <c r="H82" s="667"/>
      <c r="I82" s="668"/>
      <c r="J82" s="669"/>
    </row>
    <row r="83" spans="2:10">
      <c r="G83" s="670" t="str">
        <f>summ!H36</f>
        <v xml:space="preserve">  </v>
      </c>
      <c r="H83" s="667" t="str">
        <f>CONCATENATE("",E1," Fund Mill Rate")</f>
        <v>2014 Fund Mill Rate</v>
      </c>
      <c r="I83" s="668"/>
      <c r="J83" s="669"/>
    </row>
    <row r="84" spans="2:10">
      <c r="G84" s="671" t="str">
        <f>summ!E36</f>
        <v xml:space="preserve">  </v>
      </c>
      <c r="H84" s="667" t="str">
        <f>CONCATENATE("",E1-1," Fund Mill Rate")</f>
        <v>2013 Fund Mill Rate</v>
      </c>
      <c r="I84" s="668"/>
      <c r="J84" s="669"/>
    </row>
    <row r="85" spans="2:10">
      <c r="G85" s="672">
        <f>summ!H61</f>
        <v>56.5124</v>
      </c>
      <c r="H85" s="667" t="str">
        <f>CONCATENATE("Total ",E1," Mill Rate")</f>
        <v>Total 2014 Mill Rate</v>
      </c>
      <c r="I85" s="668"/>
      <c r="J85" s="669"/>
    </row>
    <row r="86" spans="2:10">
      <c r="G86" s="671">
        <f>summ!E61</f>
        <v>63.972000000000008</v>
      </c>
      <c r="H86" s="673" t="str">
        <f>CONCATENATE("Total ",E1-1," Mill Rate")</f>
        <v>Total 2013 Mill Rate</v>
      </c>
      <c r="I86" s="674"/>
      <c r="J86" s="675"/>
    </row>
    <row r="91" spans="2:10" hidden="1">
      <c r="C91" s="71" t="str">
        <f>IF(C33&gt;C35,"See Tab A","")</f>
        <v/>
      </c>
      <c r="D91" s="71" t="str">
        <f>IF(D33&gt;D35,"See Tab C","")</f>
        <v/>
      </c>
    </row>
    <row r="92" spans="2:10" hidden="1">
      <c r="C92" s="71" t="str">
        <f>IF(C34&lt;0,"See Tab B","")</f>
        <v/>
      </c>
      <c r="D92" s="71" t="str">
        <f>IF(D34&lt;0,"See Tab D","")</f>
        <v/>
      </c>
    </row>
    <row r="93" spans="2:10" hidden="1">
      <c r="C93" s="71" t="str">
        <f>IF(C73&gt;C75,"See Tab A","")</f>
        <v/>
      </c>
      <c r="D93" s="71" t="str">
        <f>IF(D73&gt;D75,"See Tab C","")</f>
        <v/>
      </c>
    </row>
    <row r="94" spans="2:10" hidden="1">
      <c r="C94" s="71" t="str">
        <f>IF(C74&lt;0,"See Tab B","")</f>
        <v/>
      </c>
      <c r="D94" s="71" t="str">
        <f>IF(D74&lt;0,"See Tab D","")</f>
        <v/>
      </c>
    </row>
  </sheetData>
  <sheetProtection sheet="1"/>
  <mergeCells count="12">
    <mergeCell ref="G81:J81"/>
    <mergeCell ref="G24:J24"/>
    <mergeCell ref="G31:J31"/>
    <mergeCell ref="G41:J41"/>
    <mergeCell ref="G64:J64"/>
    <mergeCell ref="G71:J71"/>
    <mergeCell ref="C36:D36"/>
    <mergeCell ref="C37:D37"/>
    <mergeCell ref="C76:D76"/>
    <mergeCell ref="C77:D77"/>
    <mergeCell ref="C80:D80"/>
    <mergeCell ref="C40:D40"/>
  </mergeCells>
  <phoneticPr fontId="0" type="noConversion"/>
  <conditionalFormatting sqref="E71">
    <cfRule type="cellIs" dxfId="212" priority="3" stopIfTrue="1" operator="greaterThan">
      <formula>$E$73*0.1</formula>
    </cfRule>
  </conditionalFormatting>
  <conditionalFormatting sqref="E76">
    <cfRule type="cellIs" dxfId="211" priority="4" stopIfTrue="1" operator="greaterThan">
      <formula>$E$73/0.95-$E$73</formula>
    </cfRule>
  </conditionalFormatting>
  <conditionalFormatting sqref="E36">
    <cfRule type="cellIs" dxfId="210" priority="5" stopIfTrue="1" operator="greaterThan">
      <formula>$E$33/0.95-$E$33</formula>
    </cfRule>
  </conditionalFormatting>
  <conditionalFormatting sqref="E31">
    <cfRule type="cellIs" dxfId="209" priority="6" stopIfTrue="1" operator="greaterThan">
      <formula>$E$33*0.1</formula>
    </cfRule>
  </conditionalFormatting>
  <conditionalFormatting sqref="C74 C34">
    <cfRule type="cellIs" dxfId="208" priority="7" stopIfTrue="1" operator="lessThan">
      <formula>0</formula>
    </cfRule>
  </conditionalFormatting>
  <conditionalFormatting sqref="C73">
    <cfRule type="cellIs" dxfId="207" priority="8" stopIfTrue="1" operator="greaterThan">
      <formula>$C$75</formula>
    </cfRule>
  </conditionalFormatting>
  <conditionalFormatting sqref="D73">
    <cfRule type="cellIs" dxfId="206" priority="9" stopIfTrue="1" operator="greaterThan">
      <formula>$D$75</formula>
    </cfRule>
  </conditionalFormatting>
  <conditionalFormatting sqref="C71">
    <cfRule type="cellIs" dxfId="205" priority="10" stopIfTrue="1" operator="greaterThan">
      <formula>$C$73*0.1</formula>
    </cfRule>
  </conditionalFormatting>
  <conditionalFormatting sqref="D71">
    <cfRule type="cellIs" dxfId="204" priority="11" stopIfTrue="1" operator="greaterThan">
      <formula>$D$73*0.1</formula>
    </cfRule>
  </conditionalFormatting>
  <conditionalFormatting sqref="E58">
    <cfRule type="cellIs" dxfId="203" priority="12" stopIfTrue="1" operator="greaterThan">
      <formula>$E$60*0.1+E80</formula>
    </cfRule>
  </conditionalFormatting>
  <conditionalFormatting sqref="C58">
    <cfRule type="cellIs" dxfId="202" priority="13" stopIfTrue="1" operator="greaterThan">
      <formula>$C$60*0.1</formula>
    </cfRule>
  </conditionalFormatting>
  <conditionalFormatting sqref="D58">
    <cfRule type="cellIs" dxfId="201" priority="14" stopIfTrue="1" operator="greaterThan">
      <formula>$D$60*0.1</formula>
    </cfRule>
  </conditionalFormatting>
  <conditionalFormatting sqref="C33">
    <cfRule type="cellIs" dxfId="200" priority="15" stopIfTrue="1" operator="greaterThan">
      <formula>$C$35</formula>
    </cfRule>
  </conditionalFormatting>
  <conditionalFormatting sqref="D33">
    <cfRule type="cellIs" dxfId="199" priority="16" stopIfTrue="1" operator="greaterThan">
      <formula>$D$35</formula>
    </cfRule>
  </conditionalFormatting>
  <conditionalFormatting sqref="C31">
    <cfRule type="cellIs" dxfId="198" priority="17" stopIfTrue="1" operator="greaterThan">
      <formula>$C$33*0.1</formula>
    </cfRule>
  </conditionalFormatting>
  <conditionalFormatting sqref="D31">
    <cfRule type="cellIs" dxfId="197" priority="18" stopIfTrue="1" operator="greaterThan">
      <formula>$D$33*0.1</formula>
    </cfRule>
  </conditionalFormatting>
  <conditionalFormatting sqref="E18">
    <cfRule type="cellIs" dxfId="196" priority="19" stopIfTrue="1" operator="greaterThan">
      <formula>$E$20*0.1+E40</formula>
    </cfRule>
  </conditionalFormatting>
  <conditionalFormatting sqref="C18">
    <cfRule type="cellIs" dxfId="195" priority="20" stopIfTrue="1" operator="greaterThan">
      <formula>$C$20*0.1</formula>
    </cfRule>
  </conditionalFormatting>
  <conditionalFormatting sqref="D18">
    <cfRule type="cellIs" dxfId="194" priority="21" stopIfTrue="1" operator="greaterThan">
      <formula>$D$20*0.1</formula>
    </cfRule>
  </conditionalFormatting>
  <conditionalFormatting sqref="D34 D74">
    <cfRule type="cellIs" dxfId="193" priority="2" stopIfTrue="1" operator="lessThan">
      <formula>0</formula>
    </cfRule>
  </conditionalFormatting>
  <pageMargins left="1.1200000000000001" right="0.5" top="0.74" bottom="0.34" header="0.5" footer="0"/>
  <pageSetup scale="53" orientation="portrait" blackAndWhite="1" horizontalDpi="120" verticalDpi="144" r:id="rId1"/>
  <headerFooter alignWithMargins="0">
    <oddHeader xml:space="preserve">&amp;RState of Kansas
County
</oddHeader>
  </headerFooter>
</worksheet>
</file>

<file path=xl/worksheets/sheet27.xml><?xml version="1.0" encoding="utf-8"?>
<worksheet xmlns="http://schemas.openxmlformats.org/spreadsheetml/2006/main" xmlns:r="http://schemas.openxmlformats.org/officeDocument/2006/relationships">
  <sheetPr codeName="Sheet22">
    <pageSetUpPr fitToPage="1"/>
  </sheetPr>
  <dimension ref="B1:K91"/>
  <sheetViews>
    <sheetView zoomScaleNormal="100" workbookViewId="0">
      <selection activeCell="F76" sqref="F76"/>
    </sheetView>
  </sheetViews>
  <sheetFormatPr defaultRowHeight="15.75"/>
  <cols>
    <col min="1" max="1" width="2.44140625" style="71" customWidth="1"/>
    <col min="2" max="2" width="31.109375" style="71" customWidth="1"/>
    <col min="3" max="4" width="15.77734375" style="71" customWidth="1"/>
    <col min="5" max="5" width="16.21875" style="71" customWidth="1"/>
    <col min="6" max="6" width="8.88671875" style="71"/>
    <col min="7" max="7" width="10.21875" style="71" customWidth="1"/>
    <col min="8" max="8" width="8.88671875" style="71"/>
    <col min="9" max="9" width="5" style="71" customWidth="1"/>
    <col min="10" max="10" width="10" style="71" customWidth="1"/>
    <col min="11" max="16384" width="8.88671875" style="71"/>
  </cols>
  <sheetData>
    <row r="1" spans="2:5">
      <c r="B1" s="226">
        <f>inputPrYr!C3</f>
        <v>0</v>
      </c>
      <c r="C1" s="84"/>
      <c r="D1" s="84"/>
      <c r="E1" s="284">
        <f>inputPrYr!C4</f>
        <v>2014</v>
      </c>
    </row>
    <row r="2" spans="2:5">
      <c r="B2" s="151"/>
      <c r="C2" s="331"/>
      <c r="D2" s="331"/>
      <c r="E2" s="332"/>
    </row>
    <row r="3" spans="2:5">
      <c r="B3" s="700" t="s">
        <v>236</v>
      </c>
      <c r="C3" s="325"/>
      <c r="D3" s="325"/>
      <c r="E3" s="325"/>
    </row>
    <row r="4" spans="2:5">
      <c r="B4" s="83" t="s">
        <v>159</v>
      </c>
      <c r="C4" s="701" t="s">
        <v>842</v>
      </c>
      <c r="D4" s="702" t="s">
        <v>843</v>
      </c>
      <c r="E4" s="214" t="s">
        <v>844</v>
      </c>
    </row>
    <row r="5" spans="2:5">
      <c r="B5" s="226">
        <f>inputPrYr!B37</f>
        <v>0</v>
      </c>
      <c r="C5" s="453" t="str">
        <f>CONCATENATE("Actual for ",E1-2,"")</f>
        <v>Actual for 2012</v>
      </c>
      <c r="D5" s="453" t="str">
        <f>CONCATENATE("Estimate for ",E1-1,"")</f>
        <v>Estimate for 2013</v>
      </c>
      <c r="E5" s="300" t="str">
        <f>CONCATENATE("Year for ",E1,"")</f>
        <v>Year for 2014</v>
      </c>
    </row>
    <row r="6" spans="2:5">
      <c r="B6" s="147" t="s">
        <v>278</v>
      </c>
      <c r="C6" s="450"/>
      <c r="D6" s="454">
        <f>C34</f>
        <v>0</v>
      </c>
      <c r="E6" s="263">
        <f>D34</f>
        <v>0</v>
      </c>
    </row>
    <row r="7" spans="2:5">
      <c r="B7" s="288" t="s">
        <v>280</v>
      </c>
      <c r="C7" s="303"/>
      <c r="D7" s="303"/>
      <c r="E7" s="126"/>
    </row>
    <row r="8" spans="2:5">
      <c r="B8" s="147" t="s">
        <v>160</v>
      </c>
      <c r="C8" s="450"/>
      <c r="D8" s="454">
        <f>IF(inputPrYr!H37&gt;0,inputPrYr!H37,inputPrYr!E37)</f>
        <v>0</v>
      </c>
      <c r="E8" s="335" t="s">
        <v>148</v>
      </c>
    </row>
    <row r="9" spans="2:5">
      <c r="B9" s="147" t="s">
        <v>161</v>
      </c>
      <c r="C9" s="450"/>
      <c r="D9" s="450"/>
      <c r="E9" s="111"/>
    </row>
    <row r="10" spans="2:5">
      <c r="B10" s="147" t="s">
        <v>162</v>
      </c>
      <c r="C10" s="450"/>
      <c r="D10" s="450"/>
      <c r="E10" s="263" t="str">
        <f>mvalloc!E28</f>
        <v xml:space="preserve">  </v>
      </c>
    </row>
    <row r="11" spans="2:5">
      <c r="B11" s="147" t="s">
        <v>163</v>
      </c>
      <c r="C11" s="450"/>
      <c r="D11" s="450"/>
      <c r="E11" s="263" t="str">
        <f>mvalloc!F28</f>
        <v xml:space="preserve">  </v>
      </c>
    </row>
    <row r="12" spans="2:5">
      <c r="B12" s="303" t="s">
        <v>227</v>
      </c>
      <c r="C12" s="450"/>
      <c r="D12" s="450"/>
      <c r="E12" s="263" t="str">
        <f>mvalloc!G28</f>
        <v xml:space="preserve">  </v>
      </c>
    </row>
    <row r="13" spans="2:5">
      <c r="B13" s="316"/>
      <c r="C13" s="450"/>
      <c r="D13" s="450"/>
      <c r="E13" s="111"/>
    </row>
    <row r="14" spans="2:5">
      <c r="B14" s="316"/>
      <c r="C14" s="450"/>
      <c r="D14" s="450"/>
      <c r="E14" s="111"/>
    </row>
    <row r="15" spans="2:5">
      <c r="B15" s="316"/>
      <c r="C15" s="450"/>
      <c r="D15" s="450"/>
      <c r="E15" s="111"/>
    </row>
    <row r="16" spans="2:5">
      <c r="B16" s="316"/>
      <c r="C16" s="450"/>
      <c r="D16" s="450"/>
      <c r="E16" s="111"/>
    </row>
    <row r="17" spans="2:10">
      <c r="B17" s="306" t="s">
        <v>167</v>
      </c>
      <c r="C17" s="450"/>
      <c r="D17" s="450"/>
      <c r="E17" s="111"/>
    </row>
    <row r="18" spans="2:10">
      <c r="B18" s="307" t="s">
        <v>75</v>
      </c>
      <c r="C18" s="450"/>
      <c r="D18" s="450"/>
      <c r="E18" s="111"/>
    </row>
    <row r="19" spans="2:10">
      <c r="B19" s="307" t="s">
        <v>76</v>
      </c>
      <c r="C19" s="451" t="str">
        <f>IF(C20*0.1&lt;C18,"Exceed 10% Rule","")</f>
        <v/>
      </c>
      <c r="D19" s="451" t="str">
        <f>IF(D20*0.1&lt;D18,"Exceed 10% Rule","")</f>
        <v/>
      </c>
      <c r="E19" s="342" t="str">
        <f>IF(E20*0.1+E40&lt;E18,"Exceed 10% Rule","")</f>
        <v/>
      </c>
    </row>
    <row r="20" spans="2:10">
      <c r="B20" s="309" t="s">
        <v>168</v>
      </c>
      <c r="C20" s="452">
        <f>SUM(C8:C18)</f>
        <v>0</v>
      </c>
      <c r="D20" s="452">
        <f>SUM(D8:D18)</f>
        <v>0</v>
      </c>
      <c r="E20" s="350">
        <f>SUM(E8:E18)</f>
        <v>0</v>
      </c>
    </row>
    <row r="21" spans="2:10">
      <c r="B21" s="309" t="s">
        <v>169</v>
      </c>
      <c r="C21" s="452">
        <f>C6+C20</f>
        <v>0</v>
      </c>
      <c r="D21" s="452">
        <f>D6+D20</f>
        <v>0</v>
      </c>
      <c r="E21" s="350">
        <f>E6+E20</f>
        <v>0</v>
      </c>
    </row>
    <row r="22" spans="2:10">
      <c r="B22" s="147" t="s">
        <v>172</v>
      </c>
      <c r="C22" s="307"/>
      <c r="D22" s="307"/>
      <c r="E22" s="107"/>
    </row>
    <row r="23" spans="2:10">
      <c r="B23" s="316"/>
      <c r="C23" s="450"/>
      <c r="D23" s="450"/>
      <c r="E23" s="111"/>
    </row>
    <row r="24" spans="2:10">
      <c r="B24" s="316"/>
      <c r="C24" s="450"/>
      <c r="D24" s="450"/>
      <c r="E24" s="111"/>
      <c r="G24" s="800" t="str">
        <f>CONCATENATE("Desired Carryover Into ",E1+1,"")</f>
        <v>Desired Carryover Into 2015</v>
      </c>
      <c r="H24" s="801"/>
      <c r="I24" s="801"/>
      <c r="J24" s="802"/>
    </row>
    <row r="25" spans="2:10">
      <c r="B25" s="316"/>
      <c r="C25" s="450"/>
      <c r="D25" s="450"/>
      <c r="E25" s="111"/>
      <c r="G25" s="648"/>
      <c r="H25" s="649"/>
      <c r="I25" s="650"/>
      <c r="J25" s="651"/>
    </row>
    <row r="26" spans="2:10">
      <c r="B26" s="316"/>
      <c r="C26" s="450"/>
      <c r="D26" s="450"/>
      <c r="E26" s="111"/>
      <c r="G26" s="652" t="s">
        <v>688</v>
      </c>
      <c r="H26" s="650"/>
      <c r="I26" s="650"/>
      <c r="J26" s="653">
        <v>0</v>
      </c>
    </row>
    <row r="27" spans="2:10">
      <c r="B27" s="316"/>
      <c r="C27" s="450"/>
      <c r="D27" s="450"/>
      <c r="E27" s="111"/>
      <c r="G27" s="648" t="s">
        <v>689</v>
      </c>
      <c r="H27" s="649"/>
      <c r="I27" s="649"/>
      <c r="J27" s="654" t="str">
        <f>IF(J26=0,"",ROUND((J26+E40-G39)/inputOth!E6*1000,3)-G44)</f>
        <v/>
      </c>
    </row>
    <row r="28" spans="2:10">
      <c r="B28" s="316"/>
      <c r="C28" s="450"/>
      <c r="D28" s="450"/>
      <c r="E28" s="111"/>
      <c r="G28" s="655" t="str">
        <f>CONCATENATE("",E1," Tot Exp/Non-Appr Must Be:")</f>
        <v>2014 Tot Exp/Non-Appr Must Be:</v>
      </c>
      <c r="H28" s="656"/>
      <c r="I28" s="657"/>
      <c r="J28" s="658">
        <f>IF(J26&gt;0,IF(E37&lt;E21,IF(J26=G39,E37,((J26-G39)*(1-D39))+E21),E37+(J26-G39)),0)</f>
        <v>0</v>
      </c>
    </row>
    <row r="29" spans="2:10">
      <c r="B29" s="316"/>
      <c r="C29" s="450"/>
      <c r="D29" s="450"/>
      <c r="E29" s="111"/>
      <c r="G29" s="659" t="s">
        <v>840</v>
      </c>
      <c r="H29" s="660"/>
      <c r="I29" s="660"/>
      <c r="J29" s="661">
        <f>IF(J26&gt;0,J28-E37,0)</f>
        <v>0</v>
      </c>
    </row>
    <row r="30" spans="2:10">
      <c r="B30" s="307" t="s">
        <v>77</v>
      </c>
      <c r="C30" s="450"/>
      <c r="D30" s="450"/>
      <c r="E30" s="119" t="str">
        <f>Nhood!E27</f>
        <v/>
      </c>
      <c r="G30" s="1"/>
      <c r="H30" s="1"/>
      <c r="I30" s="1"/>
      <c r="J30" s="1"/>
    </row>
    <row r="31" spans="2:10">
      <c r="B31" s="307" t="s">
        <v>75</v>
      </c>
      <c r="C31" s="450"/>
      <c r="D31" s="450"/>
      <c r="E31" s="111"/>
      <c r="G31" s="800" t="str">
        <f>CONCATENATE("Projected Carryover Into ",E1+1,"")</f>
        <v>Projected Carryover Into 2015</v>
      </c>
      <c r="H31" s="807"/>
      <c r="I31" s="807"/>
      <c r="J31" s="808"/>
    </row>
    <row r="32" spans="2:10">
      <c r="B32" s="307" t="s">
        <v>78</v>
      </c>
      <c r="C32" s="451" t="str">
        <f>IF(C33*0.1&lt;C31,"Exceed 10% Rule","")</f>
        <v/>
      </c>
      <c r="D32" s="451" t="str">
        <f>IF(D33*0.1&lt;D31,"Exceed 10% Rule","")</f>
        <v/>
      </c>
      <c r="E32" s="342" t="str">
        <f>IF(E33*0.1&lt;E31,"Exceed 10% Rule","")</f>
        <v/>
      </c>
      <c r="G32" s="648"/>
      <c r="H32" s="650"/>
      <c r="I32" s="650"/>
      <c r="J32" s="676"/>
    </row>
    <row r="33" spans="2:11">
      <c r="B33" s="309" t="s">
        <v>173</v>
      </c>
      <c r="C33" s="452">
        <f>SUM(C23:C31)</f>
        <v>0</v>
      </c>
      <c r="D33" s="452">
        <f>SUM(D23:D31)</f>
        <v>0</v>
      </c>
      <c r="E33" s="350">
        <f>SUM(E23:E31)</f>
        <v>0</v>
      </c>
      <c r="G33" s="677">
        <f>D34</f>
        <v>0</v>
      </c>
      <c r="H33" s="667" t="str">
        <f>CONCATENATE("",E1-1," Ending Cash Balance (est.)")</f>
        <v>2013 Ending Cash Balance (est.)</v>
      </c>
      <c r="I33" s="678"/>
      <c r="J33" s="676"/>
    </row>
    <row r="34" spans="2:11">
      <c r="B34" s="147" t="s">
        <v>279</v>
      </c>
      <c r="C34" s="455">
        <f>C21-C33</f>
        <v>0</v>
      </c>
      <c r="D34" s="455">
        <f>D21-D33</f>
        <v>0</v>
      </c>
      <c r="E34" s="335" t="s">
        <v>148</v>
      </c>
      <c r="G34" s="677">
        <f>E20</f>
        <v>0</v>
      </c>
      <c r="H34" s="650" t="str">
        <f>CONCATENATE("",E1," Non-AV Receipts (est.)")</f>
        <v>2014 Non-AV Receipts (est.)</v>
      </c>
      <c r="I34" s="678"/>
      <c r="J34" s="676"/>
    </row>
    <row r="35" spans="2:11">
      <c r="B35" s="285" t="str">
        <f>CONCATENATE("",$E$1-2,"/",$E$1-1," Budget Authority Amount:")</f>
        <v>2012/2013 Budget Authority Amount:</v>
      </c>
      <c r="C35" s="277">
        <f>inputOth!B51</f>
        <v>0</v>
      </c>
      <c r="D35" s="277">
        <f>inputPrYr!D37</f>
        <v>0</v>
      </c>
      <c r="E35" s="335" t="s">
        <v>148</v>
      </c>
      <c r="F35" s="318"/>
      <c r="G35" s="679">
        <f>IF(E39&gt;0,E38,E40)</f>
        <v>0</v>
      </c>
      <c r="H35" s="650" t="str">
        <f>CONCATENATE("",E1," Ad Valorem Tax (est.)")</f>
        <v>2014 Ad Valorem Tax (est.)</v>
      </c>
      <c r="I35" s="678"/>
      <c r="J35" s="676"/>
      <c r="K35" s="664" t="str">
        <f>IF(G35=E40,"","Note: Does not include Delinquent Taxes")</f>
        <v/>
      </c>
    </row>
    <row r="36" spans="2:11">
      <c r="B36" s="285"/>
      <c r="C36" s="790" t="s">
        <v>685</v>
      </c>
      <c r="D36" s="791"/>
      <c r="E36" s="111"/>
      <c r="F36" s="500" t="str">
        <f>IF(E33/0.95-E33&lt;E36,"Exceeds 5%","")</f>
        <v/>
      </c>
      <c r="G36" s="677">
        <f>SUM(G33:G35)</f>
        <v>0</v>
      </c>
      <c r="H36" s="650" t="str">
        <f>CONCATENATE("Total ",E1," Resources Available")</f>
        <v>Total 2014 Resources Available</v>
      </c>
      <c r="I36" s="678"/>
      <c r="J36" s="676"/>
    </row>
    <row r="37" spans="2:11">
      <c r="B37" s="703" t="str">
        <f>CONCATENATE(C88,"     ",D88)</f>
        <v xml:space="preserve">     </v>
      </c>
      <c r="C37" s="792" t="s">
        <v>686</v>
      </c>
      <c r="D37" s="793"/>
      <c r="E37" s="263">
        <f>E33+E36</f>
        <v>0</v>
      </c>
      <c r="G37" s="680"/>
      <c r="H37" s="650"/>
      <c r="I37" s="650"/>
      <c r="J37" s="676"/>
    </row>
    <row r="38" spans="2:11">
      <c r="B38" s="703" t="str">
        <f>CONCATENATE(C89,"      ",D89)</f>
        <v xml:space="preserve">      </v>
      </c>
      <c r="C38" s="319"/>
      <c r="D38" s="238" t="s">
        <v>174</v>
      </c>
      <c r="E38" s="119">
        <f>IF(E37-E21&gt;0,E37-E21,0)</f>
        <v>0</v>
      </c>
      <c r="G38" s="679">
        <f>ROUND(C33*0.05+C33,0)</f>
        <v>0</v>
      </c>
      <c r="H38" s="650" t="str">
        <f>CONCATENATE("Less ",E1-2," Expenditures + 5%")</f>
        <v>Less 2012 Expenditures + 5%</v>
      </c>
      <c r="I38" s="678"/>
      <c r="J38" s="681"/>
    </row>
    <row r="39" spans="2:11">
      <c r="B39" s="238"/>
      <c r="C39" s="502" t="s">
        <v>687</v>
      </c>
      <c r="D39" s="647">
        <f>inputOth!$E$23</f>
        <v>0.03</v>
      </c>
      <c r="E39" s="263">
        <f>ROUND(IF(D39&gt;0,(E38*D39),0),0)</f>
        <v>0</v>
      </c>
      <c r="G39" s="682">
        <f>G36-G38</f>
        <v>0</v>
      </c>
      <c r="H39" s="683" t="str">
        <f>CONCATENATE("Projected ",E1+1," carryover (est.)")</f>
        <v>Projected 2015 carryover (est.)</v>
      </c>
      <c r="I39" s="684"/>
      <c r="J39" s="685"/>
    </row>
    <row r="40" spans="2:11">
      <c r="B40" s="84"/>
      <c r="C40" s="798" t="str">
        <f>CONCATENATE("Amount of  ",$E$1-1," Ad Valorem Tax")</f>
        <v>Amount of  2013 Ad Valorem Tax</v>
      </c>
      <c r="D40" s="799"/>
      <c r="E40" s="346">
        <f>E38+E39</f>
        <v>0</v>
      </c>
      <c r="G40" s="1"/>
      <c r="H40" s="1"/>
      <c r="I40" s="1"/>
      <c r="J40" s="1"/>
    </row>
    <row r="41" spans="2:11">
      <c r="B41" s="84"/>
      <c r="C41" s="631"/>
      <c r="D41" s="84"/>
      <c r="E41" s="84"/>
      <c r="G41" s="803" t="s">
        <v>841</v>
      </c>
      <c r="H41" s="804"/>
      <c r="I41" s="804"/>
      <c r="J41" s="805"/>
    </row>
    <row r="42" spans="2:11">
      <c r="B42" s="84"/>
      <c r="C42" s="631"/>
      <c r="D42" s="84"/>
      <c r="E42" s="84"/>
      <c r="G42" s="666"/>
      <c r="H42" s="667"/>
      <c r="I42" s="668"/>
      <c r="J42" s="669"/>
    </row>
    <row r="43" spans="2:11">
      <c r="B43" s="84"/>
      <c r="C43" s="325"/>
      <c r="D43" s="325"/>
      <c r="E43" s="325"/>
      <c r="G43" s="670" t="str">
        <f>summ!H37</f>
        <v xml:space="preserve">  </v>
      </c>
      <c r="H43" s="667" t="str">
        <f>CONCATENATE("",E1," Fund Mill Rate")</f>
        <v>2014 Fund Mill Rate</v>
      </c>
      <c r="I43" s="668"/>
      <c r="J43" s="669"/>
    </row>
    <row r="44" spans="2:11">
      <c r="B44" s="83" t="s">
        <v>159</v>
      </c>
      <c r="C44" s="701" t="str">
        <f t="shared" ref="C44:E45" si="0">C4</f>
        <v xml:space="preserve">Prior Year </v>
      </c>
      <c r="D44" s="702" t="str">
        <f t="shared" si="0"/>
        <v xml:space="preserve">Current Year </v>
      </c>
      <c r="E44" s="214" t="str">
        <f t="shared" si="0"/>
        <v xml:space="preserve">Proposed Budget </v>
      </c>
      <c r="G44" s="671" t="str">
        <f>summ!E37</f>
        <v xml:space="preserve">  </v>
      </c>
      <c r="H44" s="667" t="str">
        <f>CONCATENATE("",E1-1," Fund Mill Rate")</f>
        <v>2013 Fund Mill Rate</v>
      </c>
      <c r="I44" s="668"/>
      <c r="J44" s="669"/>
    </row>
    <row r="45" spans="2:11">
      <c r="B45" s="704">
        <f>inputPrYr!$B$38</f>
        <v>0</v>
      </c>
      <c r="C45" s="453" t="str">
        <f t="shared" si="0"/>
        <v>Actual for 2012</v>
      </c>
      <c r="D45" s="453" t="str">
        <f t="shared" si="0"/>
        <v>Estimate for 2013</v>
      </c>
      <c r="E45" s="313" t="str">
        <f t="shared" si="0"/>
        <v>Year for 2014</v>
      </c>
      <c r="G45" s="672">
        <f>summ!H61</f>
        <v>56.5124</v>
      </c>
      <c r="H45" s="667" t="str">
        <f>CONCATENATE("Total ",E1," Mill Rate")</f>
        <v>Total 2014 Mill Rate</v>
      </c>
      <c r="I45" s="668"/>
      <c r="J45" s="669"/>
    </row>
    <row r="46" spans="2:11">
      <c r="B46" s="147" t="s">
        <v>278</v>
      </c>
      <c r="C46" s="450"/>
      <c r="D46" s="454">
        <f>C74</f>
        <v>0</v>
      </c>
      <c r="E46" s="263">
        <f>D74</f>
        <v>0</v>
      </c>
      <c r="G46" s="671">
        <f>summ!E61</f>
        <v>63.972000000000008</v>
      </c>
      <c r="H46" s="673" t="str">
        <f>CONCATENATE("Total ",E1-1," Mill Rate")</f>
        <v>Total 2013 Mill Rate</v>
      </c>
      <c r="I46" s="674"/>
      <c r="J46" s="675"/>
    </row>
    <row r="47" spans="2:11">
      <c r="B47" s="301" t="s">
        <v>280</v>
      </c>
      <c r="C47" s="303"/>
      <c r="D47" s="303"/>
      <c r="E47" s="126"/>
      <c r="G47" s="1"/>
      <c r="H47" s="1"/>
      <c r="I47" s="1"/>
      <c r="J47" s="1"/>
    </row>
    <row r="48" spans="2:11">
      <c r="B48" s="147" t="s">
        <v>160</v>
      </c>
      <c r="C48" s="450"/>
      <c r="D48" s="454">
        <f>IF(inputPrYr!H38&gt;0,inputPrYr!H38,inputPrYr!E38)</f>
        <v>0</v>
      </c>
      <c r="E48" s="335" t="s">
        <v>148</v>
      </c>
      <c r="G48" s="1"/>
      <c r="H48" s="1"/>
      <c r="I48" s="1"/>
      <c r="J48" s="1"/>
    </row>
    <row r="49" spans="2:10">
      <c r="B49" s="147" t="s">
        <v>161</v>
      </c>
      <c r="C49" s="450"/>
      <c r="D49" s="450"/>
      <c r="E49" s="111"/>
      <c r="G49" s="1"/>
      <c r="H49" s="1"/>
      <c r="I49" s="1"/>
      <c r="J49" s="1"/>
    </row>
    <row r="50" spans="2:10">
      <c r="B50" s="147" t="s">
        <v>162</v>
      </c>
      <c r="C50" s="450"/>
      <c r="D50" s="450"/>
      <c r="E50" s="263" t="str">
        <f>mvalloc!E29</f>
        <v xml:space="preserve">  </v>
      </c>
      <c r="G50" s="1"/>
      <c r="H50" s="1"/>
      <c r="I50" s="1"/>
      <c r="J50" s="1"/>
    </row>
    <row r="51" spans="2:10">
      <c r="B51" s="147" t="s">
        <v>163</v>
      </c>
      <c r="C51" s="450"/>
      <c r="D51" s="450"/>
      <c r="E51" s="263" t="str">
        <f>mvalloc!F29</f>
        <v xml:space="preserve">  </v>
      </c>
      <c r="G51" s="1"/>
      <c r="H51" s="1"/>
      <c r="I51" s="1"/>
      <c r="J51" s="1"/>
    </row>
    <row r="52" spans="2:10">
      <c r="B52" s="303" t="s">
        <v>227</v>
      </c>
      <c r="C52" s="450"/>
      <c r="D52" s="450"/>
      <c r="E52" s="263" t="str">
        <f>mvalloc!G29</f>
        <v xml:space="preserve">  </v>
      </c>
      <c r="G52" s="1"/>
      <c r="H52" s="1"/>
      <c r="I52" s="1"/>
      <c r="J52" s="1"/>
    </row>
    <row r="53" spans="2:10">
      <c r="B53" s="316"/>
      <c r="C53" s="450"/>
      <c r="D53" s="450"/>
      <c r="E53" s="111"/>
      <c r="G53" s="1"/>
      <c r="H53" s="1"/>
      <c r="I53" s="1"/>
      <c r="J53" s="1"/>
    </row>
    <row r="54" spans="2:10">
      <c r="B54" s="316"/>
      <c r="C54" s="450"/>
      <c r="D54" s="450"/>
      <c r="E54" s="111"/>
      <c r="G54" s="1"/>
      <c r="H54" s="1"/>
      <c r="I54" s="1"/>
      <c r="J54" s="1"/>
    </row>
    <row r="55" spans="2:10">
      <c r="B55" s="316"/>
      <c r="C55" s="450"/>
      <c r="D55" s="450"/>
      <c r="E55" s="111"/>
      <c r="G55" s="1"/>
      <c r="H55" s="1"/>
      <c r="I55" s="1"/>
      <c r="J55" s="1"/>
    </row>
    <row r="56" spans="2:10">
      <c r="B56" s="316"/>
      <c r="C56" s="450"/>
      <c r="D56" s="450"/>
      <c r="E56" s="111"/>
      <c r="G56" s="1"/>
      <c r="H56" s="1"/>
      <c r="I56" s="1"/>
      <c r="J56" s="1"/>
    </row>
    <row r="57" spans="2:10">
      <c r="B57" s="306" t="s">
        <v>167</v>
      </c>
      <c r="C57" s="450"/>
      <c r="D57" s="450"/>
      <c r="E57" s="111"/>
      <c r="G57" s="1"/>
      <c r="H57" s="1"/>
      <c r="I57" s="1"/>
      <c r="J57" s="1"/>
    </row>
    <row r="58" spans="2:10">
      <c r="B58" s="307" t="s">
        <v>75</v>
      </c>
      <c r="C58" s="450"/>
      <c r="D58" s="450"/>
      <c r="E58" s="111"/>
      <c r="G58" s="1"/>
      <c r="H58" s="1"/>
      <c r="I58" s="1"/>
      <c r="J58" s="1"/>
    </row>
    <row r="59" spans="2:10">
      <c r="B59" s="307" t="s">
        <v>76</v>
      </c>
      <c r="C59" s="451" t="str">
        <f>IF(C60*0.1&lt;C58,"Exceed 10% Rule","")</f>
        <v/>
      </c>
      <c r="D59" s="451" t="str">
        <f>IF(D60*0.1&lt;D58,"Exceed 10% Rule","")</f>
        <v/>
      </c>
      <c r="E59" s="342" t="str">
        <f>IF(E60*0.1+E80&lt;E58,"Exceed 10% Rule","")</f>
        <v/>
      </c>
      <c r="G59" s="1"/>
      <c r="H59" s="1"/>
      <c r="I59" s="1"/>
      <c r="J59" s="1"/>
    </row>
    <row r="60" spans="2:10">
      <c r="B60" s="309" t="s">
        <v>168</v>
      </c>
      <c r="C60" s="452">
        <f>SUM(C48:C58)</f>
        <v>0</v>
      </c>
      <c r="D60" s="452">
        <f>SUM(D48:D58)</f>
        <v>0</v>
      </c>
      <c r="E60" s="350">
        <f>SUM(E48:E58)</f>
        <v>0</v>
      </c>
      <c r="G60" s="1"/>
      <c r="H60" s="1"/>
      <c r="I60" s="1"/>
      <c r="J60" s="1"/>
    </row>
    <row r="61" spans="2:10">
      <c r="B61" s="309" t="s">
        <v>169</v>
      </c>
      <c r="C61" s="452">
        <f>C46+C60</f>
        <v>0</v>
      </c>
      <c r="D61" s="452">
        <f>D46+D60</f>
        <v>0</v>
      </c>
      <c r="E61" s="350">
        <f>E46+E60</f>
        <v>0</v>
      </c>
      <c r="G61" s="1"/>
      <c r="H61" s="1"/>
      <c r="I61" s="1"/>
      <c r="J61" s="1"/>
    </row>
    <row r="62" spans="2:10">
      <c r="B62" s="147" t="s">
        <v>172</v>
      </c>
      <c r="C62" s="307"/>
      <c r="D62" s="307"/>
      <c r="E62" s="107"/>
      <c r="G62" s="1"/>
      <c r="H62" s="1"/>
      <c r="I62" s="1"/>
      <c r="J62" s="1"/>
    </row>
    <row r="63" spans="2:10">
      <c r="B63" s="316"/>
      <c r="C63" s="450"/>
      <c r="D63" s="450"/>
      <c r="E63" s="111"/>
      <c r="G63" s="1"/>
      <c r="H63" s="1"/>
      <c r="I63" s="1"/>
      <c r="J63" s="1"/>
    </row>
    <row r="64" spans="2:10">
      <c r="B64" s="316"/>
      <c r="C64" s="450"/>
      <c r="D64" s="450"/>
      <c r="E64" s="111"/>
      <c r="G64" s="800" t="str">
        <f>CONCATENATE("Desired Carryover Into ",E1+1,"")</f>
        <v>Desired Carryover Into 2015</v>
      </c>
      <c r="H64" s="801"/>
      <c r="I64" s="801"/>
      <c r="J64" s="802"/>
    </row>
    <row r="65" spans="2:11">
      <c r="B65" s="316"/>
      <c r="C65" s="450"/>
      <c r="D65" s="450"/>
      <c r="E65" s="111"/>
      <c r="G65" s="648"/>
      <c r="H65" s="649"/>
      <c r="I65" s="650"/>
      <c r="J65" s="651"/>
    </row>
    <row r="66" spans="2:11">
      <c r="B66" s="316"/>
      <c r="C66" s="450"/>
      <c r="D66" s="450"/>
      <c r="E66" s="111"/>
      <c r="G66" s="652" t="s">
        <v>688</v>
      </c>
      <c r="H66" s="650"/>
      <c r="I66" s="650"/>
      <c r="J66" s="653">
        <v>0</v>
      </c>
    </row>
    <row r="67" spans="2:11">
      <c r="B67" s="316"/>
      <c r="C67" s="450"/>
      <c r="D67" s="450"/>
      <c r="E67" s="111"/>
      <c r="G67" s="648" t="s">
        <v>689</v>
      </c>
      <c r="H67" s="649"/>
      <c r="I67" s="649"/>
      <c r="J67" s="654" t="str">
        <f>IF(J66=0,"",ROUND((J66+E80-G79)/inputOth!E6*1000,3)-G84)</f>
        <v/>
      </c>
    </row>
    <row r="68" spans="2:11">
      <c r="B68" s="316"/>
      <c r="C68" s="450"/>
      <c r="D68" s="450"/>
      <c r="E68" s="111"/>
      <c r="G68" s="655" t="str">
        <f>CONCATENATE("",E1," Tot Exp/Non-Appr Must Be:")</f>
        <v>2014 Tot Exp/Non-Appr Must Be:</v>
      </c>
      <c r="H68" s="656"/>
      <c r="I68" s="657"/>
      <c r="J68" s="658">
        <f>IF(J66&gt;0,IF(E77&lt;E61,IF(J66=G79,E77,((J66-G79)*(1-D79))+E61),E77+(J66-G79)),0)</f>
        <v>0</v>
      </c>
    </row>
    <row r="69" spans="2:11">
      <c r="B69" s="316"/>
      <c r="C69" s="450"/>
      <c r="D69" s="450"/>
      <c r="E69" s="111"/>
      <c r="G69" s="659" t="s">
        <v>840</v>
      </c>
      <c r="H69" s="660"/>
      <c r="I69" s="660"/>
      <c r="J69" s="661">
        <f>IF(J66&gt;0,J68-E77,0)</f>
        <v>0</v>
      </c>
    </row>
    <row r="70" spans="2:11">
      <c r="B70" s="307" t="s">
        <v>77</v>
      </c>
      <c r="C70" s="450"/>
      <c r="D70" s="450"/>
      <c r="E70" s="119" t="str">
        <f>Nhood!E28</f>
        <v/>
      </c>
      <c r="G70" s="1"/>
      <c r="H70" s="1"/>
      <c r="I70" s="1"/>
      <c r="J70" s="1"/>
    </row>
    <row r="71" spans="2:11">
      <c r="B71" s="307" t="s">
        <v>75</v>
      </c>
      <c r="C71" s="450"/>
      <c r="D71" s="450"/>
      <c r="E71" s="111"/>
      <c r="G71" s="800" t="str">
        <f>CONCATENATE("Projected Carryover Into ",E1+1,"")</f>
        <v>Projected Carryover Into 2015</v>
      </c>
      <c r="H71" s="809"/>
      <c r="I71" s="809"/>
      <c r="J71" s="808"/>
    </row>
    <row r="72" spans="2:11">
      <c r="B72" s="307" t="s">
        <v>78</v>
      </c>
      <c r="C72" s="451" t="str">
        <f>IF(C73*0.1&lt;C71,"Exceed 10% Rule","")</f>
        <v/>
      </c>
      <c r="D72" s="451" t="str">
        <f>IF(D73*0.1&lt;D71,"Exceed 10% Rule","")</f>
        <v/>
      </c>
      <c r="E72" s="342" t="str">
        <f>IF(E73*0.1&lt;E71,"Exceed 10% Rule","")</f>
        <v/>
      </c>
      <c r="G72" s="686"/>
      <c r="H72" s="649"/>
      <c r="I72" s="649"/>
      <c r="J72" s="681"/>
    </row>
    <row r="73" spans="2:11">
      <c r="B73" s="309" t="s">
        <v>173</v>
      </c>
      <c r="C73" s="452">
        <f>SUM(C63:C71)</f>
        <v>0</v>
      </c>
      <c r="D73" s="452">
        <f>SUM(D63:D71)</f>
        <v>0</v>
      </c>
      <c r="E73" s="350">
        <f>SUM(E63:E71)</f>
        <v>0</v>
      </c>
      <c r="G73" s="677">
        <f>D74</f>
        <v>0</v>
      </c>
      <c r="H73" s="667" t="str">
        <f>CONCATENATE("",E1-1," Ending Cash Balance (est.)")</f>
        <v>2013 Ending Cash Balance (est.)</v>
      </c>
      <c r="I73" s="678"/>
      <c r="J73" s="681"/>
    </row>
    <row r="74" spans="2:11">
      <c r="B74" s="147" t="s">
        <v>279</v>
      </c>
      <c r="C74" s="455">
        <f>C61-C73</f>
        <v>0</v>
      </c>
      <c r="D74" s="455">
        <f>D61-D73</f>
        <v>0</v>
      </c>
      <c r="E74" s="335" t="s">
        <v>148</v>
      </c>
      <c r="G74" s="677">
        <f>E60</f>
        <v>0</v>
      </c>
      <c r="H74" s="650" t="str">
        <f>CONCATENATE("",E1," Non-AV Receipts (est.)")</f>
        <v>2014 Non-AV Receipts (est.)</v>
      </c>
      <c r="I74" s="678"/>
      <c r="J74" s="681"/>
    </row>
    <row r="75" spans="2:11">
      <c r="B75" s="285" t="str">
        <f>CONCATENATE("",$E$1-2,"/",$E$1-1," Budget Authority Amount:")</f>
        <v>2012/2013 Budget Authority Amount:</v>
      </c>
      <c r="C75" s="277">
        <f>inputOth!B52</f>
        <v>0</v>
      </c>
      <c r="D75" s="277">
        <f>inputPrYr!D38</f>
        <v>0</v>
      </c>
      <c r="E75" s="335" t="s">
        <v>148</v>
      </c>
      <c r="F75" s="318"/>
      <c r="G75" s="679">
        <f>IF(E79&gt;0,E78,E80)</f>
        <v>0</v>
      </c>
      <c r="H75" s="650" t="str">
        <f>CONCATENATE("",E1," Ad Valorem Tax (est.)")</f>
        <v>2014 Ad Valorem Tax (est.)</v>
      </c>
      <c r="I75" s="678"/>
      <c r="J75" s="681"/>
      <c r="K75" s="664" t="str">
        <f>IF(G75=E80,"","Note: Does not include Delinquent Taxes")</f>
        <v/>
      </c>
    </row>
    <row r="76" spans="2:11">
      <c r="B76" s="285"/>
      <c r="C76" s="790" t="s">
        <v>685</v>
      </c>
      <c r="D76" s="791"/>
      <c r="E76" s="111"/>
      <c r="F76" s="500" t="str">
        <f>IF(E73/0.95-E73&lt;E76,"Exceeds 5%","")</f>
        <v/>
      </c>
      <c r="G76" s="687">
        <f>SUM(G73:G75)</f>
        <v>0</v>
      </c>
      <c r="H76" s="650" t="str">
        <f>CONCATENATE("Total ",E1," Resources Available")</f>
        <v>Total 2014 Resources Available</v>
      </c>
      <c r="I76" s="688"/>
      <c r="J76" s="681"/>
    </row>
    <row r="77" spans="2:11">
      <c r="B77" s="703" t="str">
        <f>CONCATENATE(C90,"      ",D90)</f>
        <v xml:space="preserve">      </v>
      </c>
      <c r="C77" s="792" t="s">
        <v>686</v>
      </c>
      <c r="D77" s="793"/>
      <c r="E77" s="263">
        <f>E73+E76</f>
        <v>0</v>
      </c>
      <c r="G77" s="689"/>
      <c r="H77" s="690"/>
      <c r="I77" s="649"/>
      <c r="J77" s="681"/>
    </row>
    <row r="78" spans="2:11">
      <c r="B78" s="703" t="str">
        <f>CONCATENATE(C91,"      ",D91)</f>
        <v xml:space="preserve">      </v>
      </c>
      <c r="C78" s="319"/>
      <c r="D78" s="238" t="s">
        <v>174</v>
      </c>
      <c r="E78" s="119">
        <f>IF(E77-E61&gt;0,E77-E61,0)</f>
        <v>0</v>
      </c>
      <c r="G78" s="691">
        <f>ROUND(C73*0.05+C73,0)</f>
        <v>0</v>
      </c>
      <c r="H78" s="650" t="str">
        <f>CONCATENATE("Less ",E1-2," Expenditures + 5%")</f>
        <v>Less 2012 Expenditures + 5%</v>
      </c>
      <c r="I78" s="688"/>
      <c r="J78" s="681"/>
    </row>
    <row r="79" spans="2:11">
      <c r="B79" s="238"/>
      <c r="C79" s="502" t="s">
        <v>687</v>
      </c>
      <c r="D79" s="647">
        <f>inputOth!$E$23</f>
        <v>0.03</v>
      </c>
      <c r="E79" s="263">
        <f>ROUND(IF(D79&gt;0,(E78*D79),0),0)</f>
        <v>0</v>
      </c>
      <c r="G79" s="692">
        <f>G76-G78</f>
        <v>0</v>
      </c>
      <c r="H79" s="683" t="str">
        <f>CONCATENATE("Projected ",E1+1," carryover (est.)")</f>
        <v>Projected 2015 carryover (est.)</v>
      </c>
      <c r="I79" s="693"/>
      <c r="J79" s="694"/>
    </row>
    <row r="80" spans="2:11">
      <c r="B80" s="84"/>
      <c r="C80" s="798" t="str">
        <f>CONCATENATE("Amount of  ",$E$1-1," Ad Valorem Tax")</f>
        <v>Amount of  2013 Ad Valorem Tax</v>
      </c>
      <c r="D80" s="799"/>
      <c r="E80" s="346">
        <f>E78+E79</f>
        <v>0</v>
      </c>
      <c r="G80" s="1"/>
      <c r="H80" s="1"/>
      <c r="I80" s="1"/>
      <c r="J80" s="1"/>
    </row>
    <row r="81" spans="2:10">
      <c r="B81" s="320" t="s">
        <v>188</v>
      </c>
      <c r="C81" s="347"/>
      <c r="D81" s="84"/>
      <c r="E81" s="84"/>
      <c r="G81" s="803" t="s">
        <v>841</v>
      </c>
      <c r="H81" s="804"/>
      <c r="I81" s="804"/>
      <c r="J81" s="805"/>
    </row>
    <row r="82" spans="2:10">
      <c r="G82" s="666"/>
      <c r="H82" s="667"/>
      <c r="I82" s="668"/>
      <c r="J82" s="669"/>
    </row>
    <row r="83" spans="2:10">
      <c r="G83" s="670" t="str">
        <f>summ!H38</f>
        <v xml:space="preserve">  </v>
      </c>
      <c r="H83" s="667" t="str">
        <f>CONCATENATE("",E1," Fund Mill Rate")</f>
        <v>2014 Fund Mill Rate</v>
      </c>
      <c r="I83" s="668"/>
      <c r="J83" s="669"/>
    </row>
    <row r="84" spans="2:10">
      <c r="G84" s="671" t="str">
        <f>summ!E38</f>
        <v xml:space="preserve">  </v>
      </c>
      <c r="H84" s="667" t="str">
        <f>CONCATENATE("",E1-1," Fund Mill Rate")</f>
        <v>2013 Fund Mill Rate</v>
      </c>
      <c r="I84" s="668"/>
      <c r="J84" s="669"/>
    </row>
    <row r="85" spans="2:10">
      <c r="G85" s="672">
        <f>summ!H61</f>
        <v>56.5124</v>
      </c>
      <c r="H85" s="667" t="str">
        <f>CONCATENATE("Total ",E1," Mill Rate")</f>
        <v>Total 2014 Mill Rate</v>
      </c>
      <c r="I85" s="668"/>
      <c r="J85" s="669"/>
    </row>
    <row r="86" spans="2:10">
      <c r="G86" s="671">
        <f>summ!E61</f>
        <v>63.972000000000008</v>
      </c>
      <c r="H86" s="673" t="str">
        <f>CONCATENATE("Total ",E1-1," Mill Rate")</f>
        <v>Total 2013 Mill Rate</v>
      </c>
      <c r="I86" s="674"/>
      <c r="J86" s="675"/>
    </row>
    <row r="88" spans="2:10" hidden="1">
      <c r="C88" s="71" t="str">
        <f>IF(C33&gt;C35,"See Tab A","")</f>
        <v/>
      </c>
      <c r="D88" s="71" t="str">
        <f>IF(D33&gt;D35,"See Tab C","")</f>
        <v/>
      </c>
    </row>
    <row r="89" spans="2:10" hidden="1">
      <c r="C89" s="71" t="str">
        <f>IF(C34&lt;0,"See Tab B","")</f>
        <v/>
      </c>
      <c r="D89" s="71" t="str">
        <f>IF(D34&lt;0,"See Tab D","")</f>
        <v/>
      </c>
    </row>
    <row r="90" spans="2:10" hidden="1">
      <c r="C90" s="71" t="str">
        <f>IF(C73&gt;C75,"See Tab A","")</f>
        <v/>
      </c>
      <c r="D90" s="71" t="str">
        <f>IF(D73&gt;D75,"See Tab C","")</f>
        <v/>
      </c>
    </row>
    <row r="91" spans="2:10" hidden="1">
      <c r="C91" s="71" t="str">
        <f>IF(C74&lt;0,"See Tab B","")</f>
        <v/>
      </c>
      <c r="D91" s="71" t="str">
        <f>IF(D74&lt;0,"See Tab D","")</f>
        <v/>
      </c>
    </row>
  </sheetData>
  <sheetProtection sheet="1"/>
  <mergeCells count="12">
    <mergeCell ref="G64:J64"/>
    <mergeCell ref="C37:D37"/>
    <mergeCell ref="G24:J24"/>
    <mergeCell ref="G31:J31"/>
    <mergeCell ref="C36:D36"/>
    <mergeCell ref="C40:D40"/>
    <mergeCell ref="G41:J41"/>
    <mergeCell ref="C77:D77"/>
    <mergeCell ref="G71:J71"/>
    <mergeCell ref="C76:D76"/>
    <mergeCell ref="C80:D80"/>
    <mergeCell ref="G81:J81"/>
  </mergeCells>
  <phoneticPr fontId="0" type="noConversion"/>
  <conditionalFormatting sqref="E36">
    <cfRule type="cellIs" dxfId="192" priority="20" stopIfTrue="1" operator="greaterThan">
      <formula>$E$33/0.95-$E$33</formula>
    </cfRule>
  </conditionalFormatting>
  <conditionalFormatting sqref="E76">
    <cfRule type="cellIs" dxfId="191" priority="19" stopIfTrue="1" operator="greaterThan">
      <formula>$E$73/0.95-$E$73</formula>
    </cfRule>
  </conditionalFormatting>
  <conditionalFormatting sqref="E71">
    <cfRule type="cellIs" dxfId="190" priority="18" stopIfTrue="1" operator="greaterThan">
      <formula>$E$73*0.1</formula>
    </cfRule>
  </conditionalFormatting>
  <conditionalFormatting sqref="C18">
    <cfRule type="cellIs" dxfId="189" priority="17" stopIfTrue="1" operator="greaterThan">
      <formula>$C$20*0.1</formula>
    </cfRule>
  </conditionalFormatting>
  <conditionalFormatting sqref="D18">
    <cfRule type="cellIs" dxfId="188" priority="16" stopIfTrue="1" operator="greaterThan">
      <formula>$D$20*0.1</formula>
    </cfRule>
  </conditionalFormatting>
  <conditionalFormatting sqref="E31">
    <cfRule type="cellIs" dxfId="187" priority="15" stopIfTrue="1" operator="greaterThan">
      <formula>$E$33*0.1</formula>
    </cfRule>
  </conditionalFormatting>
  <conditionalFormatting sqref="E18">
    <cfRule type="cellIs" dxfId="186" priority="14" stopIfTrue="1" operator="greaterThan">
      <formula>$E$20*0.1+E40</formula>
    </cfRule>
  </conditionalFormatting>
  <conditionalFormatting sqref="E58">
    <cfRule type="cellIs" dxfId="185" priority="13" stopIfTrue="1" operator="greaterThan">
      <formula>$E$60*0.1+E80</formula>
    </cfRule>
  </conditionalFormatting>
  <conditionalFormatting sqref="C71">
    <cfRule type="cellIs" dxfId="184" priority="12" stopIfTrue="1" operator="greaterThan">
      <formula>$C$73*0.1</formula>
    </cfRule>
  </conditionalFormatting>
  <conditionalFormatting sqref="D71">
    <cfRule type="cellIs" dxfId="183" priority="11" stopIfTrue="1" operator="greaterThan">
      <formula>$D$73*0.1</formula>
    </cfRule>
  </conditionalFormatting>
  <conditionalFormatting sqref="D58">
    <cfRule type="cellIs" dxfId="182" priority="10" stopIfTrue="1" operator="greaterThan">
      <formula>$D$60*0.1</formula>
    </cfRule>
  </conditionalFormatting>
  <conditionalFormatting sqref="C58">
    <cfRule type="cellIs" dxfId="181" priority="9" stopIfTrue="1" operator="greaterThan">
      <formula>$C$60*0.1</formula>
    </cfRule>
  </conditionalFormatting>
  <conditionalFormatting sqref="C31">
    <cfRule type="cellIs" dxfId="180" priority="8" stopIfTrue="1" operator="greaterThan">
      <formula>$C$33*0.1</formula>
    </cfRule>
  </conditionalFormatting>
  <conditionalFormatting sqref="D31">
    <cfRule type="cellIs" dxfId="179" priority="7" stopIfTrue="1" operator="greaterThan">
      <formula>$D$33*0.1</formula>
    </cfRule>
  </conditionalFormatting>
  <conditionalFormatting sqref="C33">
    <cfRule type="cellIs" dxfId="178" priority="6" stopIfTrue="1" operator="greaterThan">
      <formula>$C$35</formula>
    </cfRule>
  </conditionalFormatting>
  <conditionalFormatting sqref="D33">
    <cfRule type="cellIs" dxfId="177" priority="5" stopIfTrue="1" operator="greaterThan">
      <formula>$D$35</formula>
    </cfRule>
  </conditionalFormatting>
  <conditionalFormatting sqref="C74 C34">
    <cfRule type="cellIs" dxfId="176" priority="4" stopIfTrue="1" operator="lessThan">
      <formula>0</formula>
    </cfRule>
  </conditionalFormatting>
  <conditionalFormatting sqref="C73">
    <cfRule type="cellIs" dxfId="175" priority="3" stopIfTrue="1" operator="greaterThan">
      <formula>$C$75</formula>
    </cfRule>
  </conditionalFormatting>
  <conditionalFormatting sqref="D73">
    <cfRule type="cellIs" dxfId="174" priority="2" stopIfTrue="1" operator="greaterThan">
      <formula>$D$75</formula>
    </cfRule>
  </conditionalFormatting>
  <conditionalFormatting sqref="D74 D34">
    <cfRule type="cellIs" dxfId="173" priority="1" stopIfTrue="1" operator="lessThan">
      <formula>0</formula>
    </cfRule>
  </conditionalFormatting>
  <pageMargins left="1.1200000000000001" right="0.5" top="0.74" bottom="0.34" header="0.5" footer="0"/>
  <pageSetup scale="53" orientation="portrait" blackAndWhite="1" horizontalDpi="300" verticalDpi="300" r:id="rId1"/>
  <headerFooter alignWithMargins="0">
    <oddHeader xml:space="preserve">&amp;RState of Kansas
County
</oddHeader>
  </headerFooter>
</worksheet>
</file>

<file path=xl/worksheets/sheet28.xml><?xml version="1.0" encoding="utf-8"?>
<worksheet xmlns="http://schemas.openxmlformats.org/spreadsheetml/2006/main" xmlns:r="http://schemas.openxmlformats.org/officeDocument/2006/relationships">
  <sheetPr codeName="Sheet23">
    <pageSetUpPr fitToPage="1"/>
  </sheetPr>
  <dimension ref="B1:K94"/>
  <sheetViews>
    <sheetView zoomScaleNormal="100" workbookViewId="0">
      <selection activeCell="F76" sqref="F76"/>
    </sheetView>
  </sheetViews>
  <sheetFormatPr defaultRowHeight="15.75"/>
  <cols>
    <col min="1" max="1" width="2.44140625" style="71" customWidth="1"/>
    <col min="2" max="2" width="31.109375" style="71" customWidth="1"/>
    <col min="3" max="4" width="15.77734375" style="71" customWidth="1"/>
    <col min="5" max="5" width="16.33203125" style="71" customWidth="1"/>
    <col min="6" max="6" width="7.44140625" style="71" customWidth="1"/>
    <col min="7" max="7" width="10.21875" style="71" customWidth="1"/>
    <col min="8" max="8" width="8.88671875" style="71"/>
    <col min="9" max="9" width="5" style="71" customWidth="1"/>
    <col min="10" max="10" width="10" style="71" customWidth="1"/>
    <col min="11" max="16384" width="8.88671875" style="71"/>
  </cols>
  <sheetData>
    <row r="1" spans="2:5">
      <c r="B1" s="226" t="str">
        <f>inputPrYr!C2</f>
        <v>Lyon County</v>
      </c>
      <c r="C1" s="84"/>
      <c r="D1" s="84"/>
      <c r="E1" s="284">
        <f>inputPrYr!C4</f>
        <v>2014</v>
      </c>
    </row>
    <row r="2" spans="2:5">
      <c r="B2" s="84"/>
      <c r="C2" s="84"/>
      <c r="D2" s="84"/>
      <c r="E2" s="238"/>
    </row>
    <row r="3" spans="2:5">
      <c r="B3" s="151" t="s">
        <v>236</v>
      </c>
      <c r="C3" s="331"/>
      <c r="D3" s="331"/>
      <c r="E3" s="332"/>
    </row>
    <row r="4" spans="2:5">
      <c r="B4" s="83" t="s">
        <v>159</v>
      </c>
      <c r="C4" s="701" t="s">
        <v>842</v>
      </c>
      <c r="D4" s="702" t="s">
        <v>843</v>
      </c>
      <c r="E4" s="214" t="s">
        <v>844</v>
      </c>
    </row>
    <row r="5" spans="2:5">
      <c r="B5" s="482">
        <f>inputPrYr!B39</f>
        <v>0</v>
      </c>
      <c r="C5" s="453" t="str">
        <f>CONCATENATE("Actual for ",E1-2,"")</f>
        <v>Actual for 2012</v>
      </c>
      <c r="D5" s="453" t="str">
        <f>CONCATENATE("Estimate for ",E1-1,"")</f>
        <v>Estimate for 2013</v>
      </c>
      <c r="E5" s="300" t="str">
        <f>CONCATENATE("Year for ",E1,"")</f>
        <v>Year for 2014</v>
      </c>
    </row>
    <row r="6" spans="2:5">
      <c r="B6" s="147" t="s">
        <v>278</v>
      </c>
      <c r="C6" s="450"/>
      <c r="D6" s="454">
        <f>C34</f>
        <v>0</v>
      </c>
      <c r="E6" s="263">
        <f>D34</f>
        <v>0</v>
      </c>
    </row>
    <row r="7" spans="2:5">
      <c r="B7" s="288" t="s">
        <v>280</v>
      </c>
      <c r="C7" s="303"/>
      <c r="D7" s="303"/>
      <c r="E7" s="126"/>
    </row>
    <row r="8" spans="2:5">
      <c r="B8" s="147" t="s">
        <v>160</v>
      </c>
      <c r="C8" s="450"/>
      <c r="D8" s="454">
        <f>IF(inputPrYr!H39&gt;0,inputPrYr!H39,inputPrYr!E39)</f>
        <v>0</v>
      </c>
      <c r="E8" s="335" t="s">
        <v>148</v>
      </c>
    </row>
    <row r="9" spans="2:5">
      <c r="B9" s="147" t="s">
        <v>161</v>
      </c>
      <c r="C9" s="450"/>
      <c r="D9" s="450"/>
      <c r="E9" s="111"/>
    </row>
    <row r="10" spans="2:5">
      <c r="B10" s="147" t="s">
        <v>162</v>
      </c>
      <c r="C10" s="450"/>
      <c r="D10" s="450"/>
      <c r="E10" s="263" t="str">
        <f>mvalloc!E30</f>
        <v xml:space="preserve">  </v>
      </c>
    </row>
    <row r="11" spans="2:5">
      <c r="B11" s="147" t="s">
        <v>163</v>
      </c>
      <c r="C11" s="450"/>
      <c r="D11" s="450"/>
      <c r="E11" s="263" t="str">
        <f>mvalloc!F30</f>
        <v xml:space="preserve">  </v>
      </c>
    </row>
    <row r="12" spans="2:5">
      <c r="B12" s="303" t="s">
        <v>227</v>
      </c>
      <c r="C12" s="450"/>
      <c r="D12" s="450"/>
      <c r="E12" s="263" t="str">
        <f>mvalloc!G30</f>
        <v xml:space="preserve">  </v>
      </c>
    </row>
    <row r="13" spans="2:5">
      <c r="B13" s="316"/>
      <c r="C13" s="450"/>
      <c r="D13" s="450"/>
      <c r="E13" s="111"/>
    </row>
    <row r="14" spans="2:5">
      <c r="B14" s="316"/>
      <c r="C14" s="450"/>
      <c r="D14" s="450"/>
      <c r="E14" s="111"/>
    </row>
    <row r="15" spans="2:5">
      <c r="B15" s="316"/>
      <c r="C15" s="450"/>
      <c r="D15" s="450"/>
      <c r="E15" s="111"/>
    </row>
    <row r="16" spans="2:5">
      <c r="B16" s="316"/>
      <c r="C16" s="450"/>
      <c r="D16" s="450"/>
      <c r="E16" s="111"/>
    </row>
    <row r="17" spans="2:10">
      <c r="B17" s="306" t="s">
        <v>167</v>
      </c>
      <c r="C17" s="450"/>
      <c r="D17" s="450"/>
      <c r="E17" s="111"/>
    </row>
    <row r="18" spans="2:10">
      <c r="B18" s="307" t="s">
        <v>75</v>
      </c>
      <c r="C18" s="450"/>
      <c r="D18" s="450"/>
      <c r="E18" s="111"/>
    </row>
    <row r="19" spans="2:10">
      <c r="B19" s="307" t="s">
        <v>682</v>
      </c>
      <c r="C19" s="451" t="str">
        <f>IF(C20*0.1&lt;C18,"Exceed 10% Rule","")</f>
        <v/>
      </c>
      <c r="D19" s="451" t="str">
        <f>IF(D20*0.1&lt;D18,"Exceed 10% Rule","")</f>
        <v/>
      </c>
      <c r="E19" s="342" t="str">
        <f>IF(E20*0.1+E40&lt;E18,"Exceed 10% Rule","")</f>
        <v/>
      </c>
    </row>
    <row r="20" spans="2:10">
      <c r="B20" s="309" t="s">
        <v>168</v>
      </c>
      <c r="C20" s="452">
        <f>SUM(C8:C18)</f>
        <v>0</v>
      </c>
      <c r="D20" s="452">
        <f>SUM(D8:D18)</f>
        <v>0</v>
      </c>
      <c r="E20" s="350">
        <f>SUM(E8:E18)</f>
        <v>0</v>
      </c>
    </row>
    <row r="21" spans="2:10">
      <c r="B21" s="309" t="s">
        <v>169</v>
      </c>
      <c r="C21" s="452">
        <f>C6+C20</f>
        <v>0</v>
      </c>
      <c r="D21" s="452">
        <f>D6+D20</f>
        <v>0</v>
      </c>
      <c r="E21" s="350">
        <f>E6+E20</f>
        <v>0</v>
      </c>
    </row>
    <row r="22" spans="2:10">
      <c r="B22" s="147" t="s">
        <v>172</v>
      </c>
      <c r="C22" s="307"/>
      <c r="D22" s="307"/>
      <c r="E22" s="107"/>
    </row>
    <row r="23" spans="2:10">
      <c r="B23" s="316"/>
      <c r="C23" s="450"/>
      <c r="D23" s="450"/>
      <c r="E23" s="111"/>
    </row>
    <row r="24" spans="2:10">
      <c r="B24" s="316"/>
      <c r="C24" s="450"/>
      <c r="D24" s="450"/>
      <c r="E24" s="111"/>
      <c r="G24" s="800" t="str">
        <f>CONCATENATE("Desired Carryover Into ",E1+1,"")</f>
        <v>Desired Carryover Into 2015</v>
      </c>
      <c r="H24" s="801"/>
      <c r="I24" s="801"/>
      <c r="J24" s="802"/>
    </row>
    <row r="25" spans="2:10">
      <c r="B25" s="316"/>
      <c r="C25" s="450"/>
      <c r="D25" s="450"/>
      <c r="E25" s="111"/>
      <c r="G25" s="648"/>
      <c r="H25" s="649"/>
      <c r="I25" s="650"/>
      <c r="J25" s="651"/>
    </row>
    <row r="26" spans="2:10">
      <c r="B26" s="316"/>
      <c r="C26" s="450"/>
      <c r="D26" s="450"/>
      <c r="E26" s="111"/>
      <c r="G26" s="652" t="s">
        <v>688</v>
      </c>
      <c r="H26" s="650"/>
      <c r="I26" s="650"/>
      <c r="J26" s="653">
        <v>0</v>
      </c>
    </row>
    <row r="27" spans="2:10">
      <c r="B27" s="316"/>
      <c r="C27" s="450"/>
      <c r="D27" s="450"/>
      <c r="E27" s="111"/>
      <c r="G27" s="648" t="s">
        <v>689</v>
      </c>
      <c r="H27" s="649"/>
      <c r="I27" s="649"/>
      <c r="J27" s="654" t="str">
        <f>IF(J26=0,"",ROUND((J26+E40-G39)/inputOth!E6*1000,3)-G44)</f>
        <v/>
      </c>
    </row>
    <row r="28" spans="2:10">
      <c r="B28" s="316"/>
      <c r="C28" s="450"/>
      <c r="D28" s="450"/>
      <c r="E28" s="111"/>
      <c r="G28" s="655" t="str">
        <f>CONCATENATE("",E1," Tot Exp/Non-Appr Must Be:")</f>
        <v>2014 Tot Exp/Non-Appr Must Be:</v>
      </c>
      <c r="H28" s="656"/>
      <c r="I28" s="657"/>
      <c r="J28" s="658">
        <f>IF(J26&gt;0,IF(E37&lt;E21,IF(J26=G39,E37,((J26-G39)*(1-D39))+E21),E37+(J26-G39)),0)</f>
        <v>0</v>
      </c>
    </row>
    <row r="29" spans="2:10">
      <c r="B29" s="316"/>
      <c r="C29" s="450"/>
      <c r="D29" s="450"/>
      <c r="E29" s="111"/>
      <c r="G29" s="659" t="s">
        <v>840</v>
      </c>
      <c r="H29" s="660"/>
      <c r="I29" s="660"/>
      <c r="J29" s="661">
        <f>IF(J26&gt;0,J28-E37,0)</f>
        <v>0</v>
      </c>
    </row>
    <row r="30" spans="2:10">
      <c r="B30" s="307" t="s">
        <v>77</v>
      </c>
      <c r="C30" s="450"/>
      <c r="D30" s="450"/>
      <c r="E30" s="119" t="str">
        <f>Nhood!E29</f>
        <v/>
      </c>
      <c r="G30" s="1"/>
      <c r="H30" s="1"/>
      <c r="I30" s="1"/>
      <c r="J30" s="1"/>
    </row>
    <row r="31" spans="2:10">
      <c r="B31" s="307" t="s">
        <v>75</v>
      </c>
      <c r="C31" s="450"/>
      <c r="D31" s="450"/>
      <c r="E31" s="111"/>
      <c r="G31" s="800" t="str">
        <f>CONCATENATE("Projected Carryover Into ",E1+1,"")</f>
        <v>Projected Carryover Into 2015</v>
      </c>
      <c r="H31" s="807"/>
      <c r="I31" s="807"/>
      <c r="J31" s="808"/>
    </row>
    <row r="32" spans="2:10">
      <c r="B32" s="307" t="s">
        <v>681</v>
      </c>
      <c r="C32" s="451" t="str">
        <f>IF(C33*0.1&lt;C31,"Exceed 10% Rule","")</f>
        <v/>
      </c>
      <c r="D32" s="451" t="str">
        <f>IF(D33*0.1&lt;D31,"Exceed 10% Rule","")</f>
        <v/>
      </c>
      <c r="E32" s="342" t="str">
        <f>IF(E33*0.1&lt;E31,"Exceed 10% Rule","")</f>
        <v/>
      </c>
      <c r="G32" s="648"/>
      <c r="H32" s="650"/>
      <c r="I32" s="650"/>
      <c r="J32" s="676"/>
    </row>
    <row r="33" spans="2:11">
      <c r="B33" s="309" t="s">
        <v>173</v>
      </c>
      <c r="C33" s="452">
        <f>SUM(C23:C31)</f>
        <v>0</v>
      </c>
      <c r="D33" s="452">
        <f>SUM(D23:D31)</f>
        <v>0</v>
      </c>
      <c r="E33" s="350">
        <f>SUM(E23:E31)</f>
        <v>0</v>
      </c>
      <c r="G33" s="677">
        <f>D34</f>
        <v>0</v>
      </c>
      <c r="H33" s="667" t="str">
        <f>CONCATENATE("",E1-1," Ending Cash Balance (est.)")</f>
        <v>2013 Ending Cash Balance (est.)</v>
      </c>
      <c r="I33" s="678"/>
      <c r="J33" s="676"/>
    </row>
    <row r="34" spans="2:11">
      <c r="B34" s="147" t="s">
        <v>279</v>
      </c>
      <c r="C34" s="455">
        <f>C21-C33</f>
        <v>0</v>
      </c>
      <c r="D34" s="455">
        <f>D21-D33</f>
        <v>0</v>
      </c>
      <c r="E34" s="335" t="s">
        <v>148</v>
      </c>
      <c r="G34" s="677">
        <f>E20</f>
        <v>0</v>
      </c>
      <c r="H34" s="650" t="str">
        <f>CONCATENATE("",E1," Non-AV Receipts (est.)")</f>
        <v>2014 Non-AV Receipts (est.)</v>
      </c>
      <c r="I34" s="678"/>
      <c r="J34" s="676"/>
    </row>
    <row r="35" spans="2:11">
      <c r="B35" s="285" t="str">
        <f>CONCATENATE("",E$1-2,"/",E$1-1," Budget Authority Amount:")</f>
        <v>2012/2013 Budget Authority Amount:</v>
      </c>
      <c r="C35" s="277">
        <f>inputOth!B53</f>
        <v>0</v>
      </c>
      <c r="D35" s="277">
        <f>inputPrYr!D39</f>
        <v>0</v>
      </c>
      <c r="E35" s="335" t="s">
        <v>148</v>
      </c>
      <c r="F35" s="318"/>
      <c r="G35" s="679">
        <f>IF(E39&gt;0,E38,E40)</f>
        <v>0</v>
      </c>
      <c r="H35" s="650" t="str">
        <f>CONCATENATE("",E1," Ad Valorem Tax (est.)")</f>
        <v>2014 Ad Valorem Tax (est.)</v>
      </c>
      <c r="I35" s="678"/>
      <c r="J35" s="676"/>
      <c r="K35" s="664" t="str">
        <f>IF(G35=E40,"","Note: Does not include Delinquent Taxes")</f>
        <v/>
      </c>
    </row>
    <row r="36" spans="2:11">
      <c r="B36" s="285"/>
      <c r="C36" s="790" t="s">
        <v>685</v>
      </c>
      <c r="D36" s="791"/>
      <c r="E36" s="111"/>
      <c r="F36" s="500" t="str">
        <f>IF(E33/0.95-E33&lt;E36,"Exceeds 5%","")</f>
        <v/>
      </c>
      <c r="G36" s="677">
        <f>SUM(G33:G35)</f>
        <v>0</v>
      </c>
      <c r="H36" s="650" t="str">
        <f>CONCATENATE("Total ",E1," Resources Available")</f>
        <v>Total 2014 Resources Available</v>
      </c>
      <c r="I36" s="678"/>
      <c r="J36" s="676"/>
    </row>
    <row r="37" spans="2:11">
      <c r="B37" s="504" t="str">
        <f>CONCATENATE(C91,"     ",D91)</f>
        <v xml:space="preserve">     </v>
      </c>
      <c r="C37" s="792" t="s">
        <v>686</v>
      </c>
      <c r="D37" s="793"/>
      <c r="E37" s="263">
        <f>E33+E36</f>
        <v>0</v>
      </c>
      <c r="G37" s="680"/>
      <c r="H37" s="650"/>
      <c r="I37" s="650"/>
      <c r="J37" s="676"/>
    </row>
    <row r="38" spans="2:11">
      <c r="B38" s="504" t="str">
        <f>CONCATENATE(C92,"     ",D92)</f>
        <v xml:space="preserve">     </v>
      </c>
      <c r="C38" s="319"/>
      <c r="D38" s="238" t="s">
        <v>174</v>
      </c>
      <c r="E38" s="119">
        <f>IF(E37-E21&gt;0,E37-E21,0)</f>
        <v>0</v>
      </c>
      <c r="G38" s="679">
        <f>ROUND(C33*0.05+C33,0)</f>
        <v>0</v>
      </c>
      <c r="H38" s="650" t="str">
        <f>CONCATENATE("Less ",E1-2," Expenditures + 5%")</f>
        <v>Less 2012 Expenditures + 5%</v>
      </c>
      <c r="I38" s="678"/>
      <c r="J38" s="681"/>
    </row>
    <row r="39" spans="2:11">
      <c r="B39" s="238"/>
      <c r="C39" s="502" t="s">
        <v>687</v>
      </c>
      <c r="D39" s="647">
        <f>inputOth!$E$23</f>
        <v>0.03</v>
      </c>
      <c r="E39" s="263">
        <f>ROUND(IF(D39&gt;0,($E$38*D39),0),0)</f>
        <v>0</v>
      </c>
      <c r="G39" s="682">
        <f>G36-G38</f>
        <v>0</v>
      </c>
      <c r="H39" s="683" t="str">
        <f>CONCATENATE("Projected ",E1+1," carryover (est.)")</f>
        <v>Projected 2015 carryover (est.)</v>
      </c>
      <c r="I39" s="684"/>
      <c r="J39" s="685"/>
    </row>
    <row r="40" spans="2:11">
      <c r="B40" s="84"/>
      <c r="C40" s="798" t="str">
        <f>CONCATENATE("Amount of  ",$E$1-1," Ad Valorem Tax")</f>
        <v>Amount of  2013 Ad Valorem Tax</v>
      </c>
      <c r="D40" s="799"/>
      <c r="E40" s="346">
        <f>E38+E39</f>
        <v>0</v>
      </c>
      <c r="G40" s="1"/>
      <c r="H40" s="1"/>
      <c r="I40" s="1"/>
      <c r="J40" s="1"/>
    </row>
    <row r="41" spans="2:11">
      <c r="B41" s="84"/>
      <c r="C41" s="325"/>
      <c r="D41" s="325"/>
      <c r="E41" s="325"/>
      <c r="G41" s="803" t="s">
        <v>841</v>
      </c>
      <c r="H41" s="804"/>
      <c r="I41" s="804"/>
      <c r="J41" s="805"/>
    </row>
    <row r="42" spans="2:11">
      <c r="B42" s="83" t="s">
        <v>159</v>
      </c>
      <c r="C42" s="701" t="str">
        <f t="shared" ref="C42:E43" si="0">C4</f>
        <v xml:space="preserve">Prior Year </v>
      </c>
      <c r="D42" s="702" t="str">
        <f t="shared" si="0"/>
        <v xml:space="preserve">Current Year </v>
      </c>
      <c r="E42" s="214" t="str">
        <f t="shared" si="0"/>
        <v xml:space="preserve">Proposed Budget </v>
      </c>
      <c r="G42" s="666"/>
      <c r="H42" s="667"/>
      <c r="I42" s="668"/>
      <c r="J42" s="669"/>
    </row>
    <row r="43" spans="2:11">
      <c r="B43" s="481">
        <f>inputPrYr!B40</f>
        <v>0</v>
      </c>
      <c r="C43" s="453" t="str">
        <f t="shared" si="0"/>
        <v>Actual for 2012</v>
      </c>
      <c r="D43" s="453" t="str">
        <f t="shared" si="0"/>
        <v>Estimate for 2013</v>
      </c>
      <c r="E43" s="300" t="str">
        <f t="shared" si="0"/>
        <v>Year for 2014</v>
      </c>
      <c r="G43" s="670" t="str">
        <f>summ!H39</f>
        <v xml:space="preserve">  </v>
      </c>
      <c r="H43" s="667" t="str">
        <f>CONCATENATE("",E1," Fund Mill Rate")</f>
        <v>2014 Fund Mill Rate</v>
      </c>
      <c r="I43" s="668"/>
      <c r="J43" s="669"/>
    </row>
    <row r="44" spans="2:11">
      <c r="B44" s="147" t="s">
        <v>278</v>
      </c>
      <c r="C44" s="450"/>
      <c r="D44" s="454">
        <f>C74</f>
        <v>0</v>
      </c>
      <c r="E44" s="263">
        <f>D74</f>
        <v>0</v>
      </c>
      <c r="G44" s="671" t="str">
        <f>summ!E39</f>
        <v xml:space="preserve">  </v>
      </c>
      <c r="H44" s="667" t="str">
        <f>CONCATENATE("",E1-1," Fund Mill Rate")</f>
        <v>2013 Fund Mill Rate</v>
      </c>
      <c r="I44" s="668"/>
      <c r="J44" s="669"/>
    </row>
    <row r="45" spans="2:11">
      <c r="B45" s="301" t="s">
        <v>280</v>
      </c>
      <c r="C45" s="303"/>
      <c r="D45" s="303"/>
      <c r="E45" s="126"/>
      <c r="G45" s="672">
        <f>summ!H61</f>
        <v>56.5124</v>
      </c>
      <c r="H45" s="667" t="str">
        <f>CONCATENATE("Total ",E1," Mill Rate")</f>
        <v>Total 2014 Mill Rate</v>
      </c>
      <c r="I45" s="668"/>
      <c r="J45" s="669"/>
    </row>
    <row r="46" spans="2:11">
      <c r="B46" s="147" t="s">
        <v>160</v>
      </c>
      <c r="C46" s="450"/>
      <c r="D46" s="454">
        <f>IF(inputPrYr!H40&gt;0,inputPrYr!H40,inputPrYr!E40)</f>
        <v>0</v>
      </c>
      <c r="E46" s="335" t="s">
        <v>148</v>
      </c>
      <c r="G46" s="671">
        <f>summ!E61</f>
        <v>63.972000000000008</v>
      </c>
      <c r="H46" s="673" t="str">
        <f>CONCATENATE("Total ",E1-1," Mill Rate")</f>
        <v>Total 2013 Mill Rate</v>
      </c>
      <c r="I46" s="674"/>
      <c r="J46" s="675"/>
    </row>
    <row r="47" spans="2:11">
      <c r="B47" s="147" t="s">
        <v>161</v>
      </c>
      <c r="C47" s="450"/>
      <c r="D47" s="450"/>
      <c r="E47" s="111"/>
      <c r="G47" s="1"/>
      <c r="H47" s="1"/>
      <c r="I47" s="1"/>
      <c r="J47" s="1"/>
    </row>
    <row r="48" spans="2:11">
      <c r="B48" s="147" t="s">
        <v>162</v>
      </c>
      <c r="C48" s="450"/>
      <c r="D48" s="450"/>
      <c r="E48" s="263" t="str">
        <f>mvalloc!E31</f>
        <v xml:space="preserve">  </v>
      </c>
      <c r="G48" s="1"/>
      <c r="H48" s="1"/>
      <c r="I48" s="1"/>
      <c r="J48" s="1"/>
    </row>
    <row r="49" spans="2:10">
      <c r="B49" s="147" t="s">
        <v>163</v>
      </c>
      <c r="C49" s="450"/>
      <c r="D49" s="450"/>
      <c r="E49" s="263" t="str">
        <f>mvalloc!F31</f>
        <v xml:space="preserve">  </v>
      </c>
      <c r="G49" s="1"/>
      <c r="H49" s="1"/>
      <c r="I49" s="1"/>
      <c r="J49" s="1"/>
    </row>
    <row r="50" spans="2:10">
      <c r="B50" s="303" t="s">
        <v>227</v>
      </c>
      <c r="C50" s="450"/>
      <c r="D50" s="450"/>
      <c r="E50" s="263" t="str">
        <f>mvalloc!G31</f>
        <v xml:space="preserve">  </v>
      </c>
      <c r="G50" s="1"/>
      <c r="H50" s="1"/>
      <c r="I50" s="1"/>
      <c r="J50" s="1"/>
    </row>
    <row r="51" spans="2:10">
      <c r="B51" s="316"/>
      <c r="C51" s="450"/>
      <c r="D51" s="450"/>
      <c r="E51" s="111"/>
      <c r="G51" s="1"/>
      <c r="H51" s="1"/>
      <c r="I51" s="1"/>
      <c r="J51" s="1"/>
    </row>
    <row r="52" spans="2:10">
      <c r="B52" s="316"/>
      <c r="C52" s="450"/>
      <c r="D52" s="450"/>
      <c r="E52" s="111"/>
      <c r="G52" s="1"/>
      <c r="H52" s="1"/>
      <c r="I52" s="1"/>
      <c r="J52" s="1"/>
    </row>
    <row r="53" spans="2:10">
      <c r="B53" s="316"/>
      <c r="C53" s="450"/>
      <c r="D53" s="450"/>
      <c r="E53" s="111"/>
      <c r="G53" s="1"/>
      <c r="H53" s="1"/>
      <c r="I53" s="1"/>
      <c r="J53" s="1"/>
    </row>
    <row r="54" spans="2:10">
      <c r="B54" s="316"/>
      <c r="C54" s="450"/>
      <c r="D54" s="450"/>
      <c r="E54" s="111"/>
      <c r="G54" s="1"/>
      <c r="H54" s="1"/>
      <c r="I54" s="1"/>
      <c r="J54" s="1"/>
    </row>
    <row r="55" spans="2:10">
      <c r="B55" s="316"/>
      <c r="C55" s="450"/>
      <c r="D55" s="450"/>
      <c r="E55" s="111"/>
      <c r="G55" s="1"/>
      <c r="H55" s="1"/>
      <c r="I55" s="1"/>
      <c r="J55" s="1"/>
    </row>
    <row r="56" spans="2:10">
      <c r="B56" s="316"/>
      <c r="C56" s="450"/>
      <c r="D56" s="450"/>
      <c r="E56" s="111"/>
      <c r="G56" s="1"/>
      <c r="H56" s="1"/>
      <c r="I56" s="1"/>
      <c r="J56" s="1"/>
    </row>
    <row r="57" spans="2:10">
      <c r="B57" s="306" t="s">
        <v>167</v>
      </c>
      <c r="C57" s="450"/>
      <c r="D57" s="450"/>
      <c r="E57" s="111"/>
      <c r="G57" s="1"/>
      <c r="H57" s="1"/>
      <c r="I57" s="1"/>
      <c r="J57" s="1"/>
    </row>
    <row r="58" spans="2:10">
      <c r="B58" s="307" t="s">
        <v>75</v>
      </c>
      <c r="C58" s="450"/>
      <c r="D58" s="450"/>
      <c r="E58" s="111"/>
      <c r="G58" s="1"/>
      <c r="H58" s="1"/>
      <c r="I58" s="1"/>
      <c r="J58" s="1"/>
    </row>
    <row r="59" spans="2:10">
      <c r="B59" s="307" t="s">
        <v>682</v>
      </c>
      <c r="C59" s="451" t="str">
        <f>IF(C60*0.1&lt;C58,"Exceed 10% Rule","")</f>
        <v/>
      </c>
      <c r="D59" s="451" t="str">
        <f>IF(D60*0.1&lt;D58,"Exceed 10% Rule","")</f>
        <v/>
      </c>
      <c r="E59" s="342" t="str">
        <f>IF(E60*0.1+E80&lt;E58,"Exceed 10% Rule","")</f>
        <v/>
      </c>
      <c r="G59" s="1"/>
      <c r="H59" s="1"/>
      <c r="I59" s="1"/>
      <c r="J59" s="1"/>
    </row>
    <row r="60" spans="2:10">
      <c r="B60" s="309" t="s">
        <v>168</v>
      </c>
      <c r="C60" s="452">
        <f>SUM(C46:C58)</f>
        <v>0</v>
      </c>
      <c r="D60" s="452">
        <f>SUM(D46:D58)</f>
        <v>0</v>
      </c>
      <c r="E60" s="350">
        <f>SUM(E46:E58)</f>
        <v>0</v>
      </c>
      <c r="G60" s="1"/>
      <c r="H60" s="1"/>
      <c r="I60" s="1"/>
      <c r="J60" s="1"/>
    </row>
    <row r="61" spans="2:10">
      <c r="B61" s="309" t="s">
        <v>169</v>
      </c>
      <c r="C61" s="452">
        <f>C44+C60</f>
        <v>0</v>
      </c>
      <c r="D61" s="452">
        <f>D44+D60</f>
        <v>0</v>
      </c>
      <c r="E61" s="350">
        <f>E44+E60</f>
        <v>0</v>
      </c>
      <c r="G61" s="1"/>
      <c r="H61" s="1"/>
      <c r="I61" s="1"/>
      <c r="J61" s="1"/>
    </row>
    <row r="62" spans="2:10">
      <c r="B62" s="147" t="s">
        <v>172</v>
      </c>
      <c r="C62" s="307"/>
      <c r="D62" s="307"/>
      <c r="E62" s="107"/>
      <c r="G62" s="1"/>
      <c r="H62" s="1"/>
      <c r="I62" s="1"/>
      <c r="J62" s="1"/>
    </row>
    <row r="63" spans="2:10">
      <c r="B63" s="316"/>
      <c r="C63" s="450"/>
      <c r="D63" s="450"/>
      <c r="E63" s="111"/>
      <c r="G63" s="1"/>
      <c r="H63" s="1"/>
      <c r="I63" s="1"/>
      <c r="J63" s="1"/>
    </row>
    <row r="64" spans="2:10">
      <c r="B64" s="316"/>
      <c r="C64" s="450"/>
      <c r="D64" s="450"/>
      <c r="E64" s="111"/>
      <c r="G64" s="800" t="str">
        <f>CONCATENATE("Desired Carryover Into ",E1+1,"")</f>
        <v>Desired Carryover Into 2015</v>
      </c>
      <c r="H64" s="801"/>
      <c r="I64" s="801"/>
      <c r="J64" s="802"/>
    </row>
    <row r="65" spans="2:11">
      <c r="B65" s="316"/>
      <c r="C65" s="450"/>
      <c r="D65" s="450"/>
      <c r="E65" s="111"/>
      <c r="G65" s="648"/>
      <c r="H65" s="649"/>
      <c r="I65" s="650"/>
      <c r="J65" s="651"/>
    </row>
    <row r="66" spans="2:11">
      <c r="B66" s="316"/>
      <c r="C66" s="450"/>
      <c r="D66" s="450"/>
      <c r="E66" s="111"/>
      <c r="G66" s="652" t="s">
        <v>688</v>
      </c>
      <c r="H66" s="650"/>
      <c r="I66" s="650"/>
      <c r="J66" s="653">
        <v>0</v>
      </c>
    </row>
    <row r="67" spans="2:11">
      <c r="B67" s="316"/>
      <c r="C67" s="450"/>
      <c r="D67" s="450"/>
      <c r="E67" s="111"/>
      <c r="G67" s="648" t="s">
        <v>689</v>
      </c>
      <c r="H67" s="649"/>
      <c r="I67" s="649"/>
      <c r="J67" s="654" t="str">
        <f>IF(J66=0,"",ROUND((J66+E80-G79)/inputOth!E6*1000,3)-G84)</f>
        <v/>
      </c>
    </row>
    <row r="68" spans="2:11">
      <c r="B68" s="316"/>
      <c r="C68" s="450"/>
      <c r="D68" s="450"/>
      <c r="E68" s="111"/>
      <c r="G68" s="655" t="str">
        <f>CONCATENATE("",E1," Tot Exp/Non-Appr Must Be:")</f>
        <v>2014 Tot Exp/Non-Appr Must Be:</v>
      </c>
      <c r="H68" s="656"/>
      <c r="I68" s="657"/>
      <c r="J68" s="658">
        <f>IF(J66&gt;0,IF(E77&lt;E61,IF(J66=G79,E77,((J66-G79)*(1-D79))+E61),E77+(J66-G79)),0)</f>
        <v>0</v>
      </c>
    </row>
    <row r="69" spans="2:11">
      <c r="B69" s="316"/>
      <c r="C69" s="450"/>
      <c r="D69" s="450"/>
      <c r="E69" s="111"/>
      <c r="G69" s="659" t="s">
        <v>840</v>
      </c>
      <c r="H69" s="660"/>
      <c r="I69" s="660"/>
      <c r="J69" s="661">
        <f>IF(J66&gt;0,J68-E77,0)</f>
        <v>0</v>
      </c>
    </row>
    <row r="70" spans="2:11">
      <c r="B70" s="307" t="s">
        <v>77</v>
      </c>
      <c r="C70" s="450"/>
      <c r="D70" s="450"/>
      <c r="E70" s="119" t="str">
        <f>Nhood!E30</f>
        <v/>
      </c>
      <c r="G70" s="1"/>
      <c r="H70" s="1"/>
      <c r="I70" s="1"/>
      <c r="J70" s="1"/>
    </row>
    <row r="71" spans="2:11">
      <c r="B71" s="307" t="s">
        <v>75</v>
      </c>
      <c r="C71" s="450"/>
      <c r="D71" s="450"/>
      <c r="E71" s="111"/>
      <c r="G71" s="800" t="str">
        <f>CONCATENATE("Projected Carryover Into ",E1+1,"")</f>
        <v>Projected Carryover Into 2015</v>
      </c>
      <c r="H71" s="809"/>
      <c r="I71" s="809"/>
      <c r="J71" s="808"/>
    </row>
    <row r="72" spans="2:11">
      <c r="B72" s="307" t="s">
        <v>681</v>
      </c>
      <c r="C72" s="451" t="str">
        <f>IF(C73*0.1&lt;C71,"Exceed 10% Rule","")</f>
        <v/>
      </c>
      <c r="D72" s="451" t="str">
        <f>IF(D73*0.1&lt;D71,"Exceed 10% Rule","")</f>
        <v/>
      </c>
      <c r="E72" s="342" t="str">
        <f>IF(E73*0.1&lt;E71,"Exceed 10% Rule","")</f>
        <v/>
      </c>
      <c r="G72" s="686"/>
      <c r="H72" s="649"/>
      <c r="I72" s="649"/>
      <c r="J72" s="681"/>
    </row>
    <row r="73" spans="2:11">
      <c r="B73" s="309" t="s">
        <v>173</v>
      </c>
      <c r="C73" s="452">
        <f>SUM(C63:C71)</f>
        <v>0</v>
      </c>
      <c r="D73" s="452">
        <f>SUM(D63:D71)</f>
        <v>0</v>
      </c>
      <c r="E73" s="350">
        <f>SUM(E63:E71)</f>
        <v>0</v>
      </c>
      <c r="G73" s="677">
        <f>D74</f>
        <v>0</v>
      </c>
      <c r="H73" s="667" t="str">
        <f>CONCATENATE("",E1-1," Ending Cash Balance (est.)")</f>
        <v>2013 Ending Cash Balance (est.)</v>
      </c>
      <c r="I73" s="678"/>
      <c r="J73" s="681"/>
    </row>
    <row r="74" spans="2:11">
      <c r="B74" s="147" t="s">
        <v>279</v>
      </c>
      <c r="C74" s="455">
        <f>C61-C73</f>
        <v>0</v>
      </c>
      <c r="D74" s="455">
        <f>D61-D73</f>
        <v>0</v>
      </c>
      <c r="E74" s="335" t="s">
        <v>148</v>
      </c>
      <c r="G74" s="677">
        <f>E60</f>
        <v>0</v>
      </c>
      <c r="H74" s="650" t="str">
        <f>CONCATENATE("",E1," Non-AV Receipts (est.)")</f>
        <v>2014 Non-AV Receipts (est.)</v>
      </c>
      <c r="I74" s="678"/>
      <c r="J74" s="681"/>
    </row>
    <row r="75" spans="2:11">
      <c r="B75" s="285" t="str">
        <f>CONCATENATE("",E$1-2,"/",E$1-1," Budget Authority Amount:")</f>
        <v>2012/2013 Budget Authority Amount:</v>
      </c>
      <c r="C75" s="277">
        <f>inputOth!B54</f>
        <v>0</v>
      </c>
      <c r="D75" s="277">
        <f>inputPrYr!D40</f>
        <v>0</v>
      </c>
      <c r="E75" s="335" t="s">
        <v>148</v>
      </c>
      <c r="F75" s="318"/>
      <c r="G75" s="679">
        <f>IF(E79&gt;0,E78,E80)</f>
        <v>0</v>
      </c>
      <c r="H75" s="650" t="str">
        <f>CONCATENATE("",E1," Ad Valorem Tax (est.)")</f>
        <v>2014 Ad Valorem Tax (est.)</v>
      </c>
      <c r="I75" s="678"/>
      <c r="J75" s="681"/>
      <c r="K75" s="664" t="str">
        <f>IF(G75=E80,"","Note: Does not include Delinquent Taxes")</f>
        <v/>
      </c>
    </row>
    <row r="76" spans="2:11">
      <c r="B76" s="285"/>
      <c r="C76" s="790" t="s">
        <v>685</v>
      </c>
      <c r="D76" s="791"/>
      <c r="E76" s="111"/>
      <c r="F76" s="500" t="str">
        <f>IF(E73/0.95-E73&lt;E76,"Exceeds 5%","")</f>
        <v/>
      </c>
      <c r="G76" s="687">
        <f>SUM(G73:G75)</f>
        <v>0</v>
      </c>
      <c r="H76" s="650" t="str">
        <f>CONCATENATE("Total ",E1," Resources Available")</f>
        <v>Total 2014 Resources Available</v>
      </c>
      <c r="I76" s="688"/>
      <c r="J76" s="681"/>
    </row>
    <row r="77" spans="2:11">
      <c r="B77" s="503" t="str">
        <f>CONCATENATE(C93,"     ",D93)</f>
        <v xml:space="preserve">     </v>
      </c>
      <c r="C77" s="792" t="s">
        <v>686</v>
      </c>
      <c r="D77" s="793"/>
      <c r="E77" s="263">
        <f>E73+E76</f>
        <v>0</v>
      </c>
      <c r="G77" s="689"/>
      <c r="H77" s="690"/>
      <c r="I77" s="649"/>
      <c r="J77" s="681"/>
    </row>
    <row r="78" spans="2:11">
      <c r="B78" s="503" t="str">
        <f>CONCATENATE(C94,"     ",D94)</f>
        <v xml:space="preserve">     </v>
      </c>
      <c r="C78" s="319"/>
      <c r="D78" s="238" t="s">
        <v>174</v>
      </c>
      <c r="E78" s="119">
        <f>IF(E77-E61&gt;0,E77-E61,0)</f>
        <v>0</v>
      </c>
      <c r="G78" s="691">
        <f>ROUND(C73*0.05+C73,0)</f>
        <v>0</v>
      </c>
      <c r="H78" s="650" t="str">
        <f>CONCATENATE("Less ",E1-2," Expenditures + 5%")</f>
        <v>Less 2012 Expenditures + 5%</v>
      </c>
      <c r="I78" s="688"/>
      <c r="J78" s="681"/>
    </row>
    <row r="79" spans="2:11">
      <c r="B79" s="238"/>
      <c r="C79" s="502" t="s">
        <v>687</v>
      </c>
      <c r="D79" s="647">
        <f>inputOth!$E$23</f>
        <v>0.03</v>
      </c>
      <c r="E79" s="263">
        <f>ROUND(IF(D79&gt;0,($E$78*D79),0),0)</f>
        <v>0</v>
      </c>
      <c r="G79" s="692">
        <f>G76-G78</f>
        <v>0</v>
      </c>
      <c r="H79" s="683" t="str">
        <f>CONCATENATE("Projected ",E1+1," carryover (est.)")</f>
        <v>Projected 2015 carryover (est.)</v>
      </c>
      <c r="I79" s="693"/>
      <c r="J79" s="694"/>
    </row>
    <row r="80" spans="2:11">
      <c r="B80" s="84"/>
      <c r="C80" s="798" t="str">
        <f>CONCATENATE("Amount of  ",$E$1-1," Ad Valorem Tax")</f>
        <v>Amount of  2013 Ad Valorem Tax</v>
      </c>
      <c r="D80" s="799"/>
      <c r="E80" s="346">
        <f>E78+E79</f>
        <v>0</v>
      </c>
      <c r="G80" s="1"/>
      <c r="H80" s="1"/>
      <c r="I80" s="1"/>
      <c r="J80" s="1"/>
    </row>
    <row r="81" spans="2:10">
      <c r="B81" s="285" t="s">
        <v>188</v>
      </c>
      <c r="C81" s="347"/>
      <c r="D81" s="84"/>
      <c r="E81" s="84"/>
      <c r="G81" s="803" t="s">
        <v>841</v>
      </c>
      <c r="H81" s="804"/>
      <c r="I81" s="804"/>
      <c r="J81" s="805"/>
    </row>
    <row r="82" spans="2:10">
      <c r="G82" s="666"/>
      <c r="H82" s="667"/>
      <c r="I82" s="668"/>
      <c r="J82" s="669"/>
    </row>
    <row r="83" spans="2:10">
      <c r="G83" s="670" t="str">
        <f>summ!H40</f>
        <v xml:space="preserve">  </v>
      </c>
      <c r="H83" s="667" t="str">
        <f>CONCATENATE("",E1," Fund Mill Rate")</f>
        <v>2014 Fund Mill Rate</v>
      </c>
      <c r="I83" s="668"/>
      <c r="J83" s="669"/>
    </row>
    <row r="84" spans="2:10">
      <c r="G84" s="671" t="str">
        <f>summ!E40</f>
        <v xml:space="preserve">  </v>
      </c>
      <c r="H84" s="667" t="str">
        <f>CONCATENATE("",E1-1," Fund Mill Rate")</f>
        <v>2013 Fund Mill Rate</v>
      </c>
      <c r="I84" s="668"/>
      <c r="J84" s="669"/>
    </row>
    <row r="85" spans="2:10">
      <c r="G85" s="672">
        <f>summ!H61</f>
        <v>56.5124</v>
      </c>
      <c r="H85" s="667" t="str">
        <f>CONCATENATE("Total ",E1," Mill Rate")</f>
        <v>Total 2014 Mill Rate</v>
      </c>
      <c r="I85" s="668"/>
      <c r="J85" s="669"/>
    </row>
    <row r="86" spans="2:10">
      <c r="G86" s="671">
        <f>summ!E61</f>
        <v>63.972000000000008</v>
      </c>
      <c r="H86" s="673" t="str">
        <f>CONCATENATE("Total ",E1-1," Mill Rate")</f>
        <v>Total 2013 Mill Rate</v>
      </c>
      <c r="I86" s="674"/>
      <c r="J86" s="675"/>
    </row>
    <row r="91" spans="2:10" hidden="1">
      <c r="C91" s="71" t="str">
        <f>IF(C33&gt;C35,"See Tab A","")</f>
        <v/>
      </c>
      <c r="D91" s="71" t="str">
        <f>IF(D33&gt;D35,"See Tab C","")</f>
        <v/>
      </c>
    </row>
    <row r="92" spans="2:10" hidden="1">
      <c r="C92" s="71" t="str">
        <f>IF(C34&lt;0,"See Tab B","")</f>
        <v/>
      </c>
      <c r="D92" s="71" t="str">
        <f>IF(D34&lt;0,"See Tab D","")</f>
        <v/>
      </c>
    </row>
    <row r="93" spans="2:10" hidden="1">
      <c r="C93" s="71" t="str">
        <f>IF(C73&gt;C75,"See Tab A","")</f>
        <v/>
      </c>
      <c r="D93" s="71" t="str">
        <f>IF(D73&gt;D75,"See Tab C","")</f>
        <v/>
      </c>
    </row>
    <row r="94" spans="2:10" hidden="1">
      <c r="C94" s="71" t="str">
        <f>IF(C74&lt;0,"See Tab B","")</f>
        <v/>
      </c>
      <c r="D94" s="71" t="str">
        <f>IF(D74&lt;0,"See Tab D","")</f>
        <v/>
      </c>
    </row>
  </sheetData>
  <sheetProtection sheet="1"/>
  <mergeCells count="12">
    <mergeCell ref="G81:J81"/>
    <mergeCell ref="G24:J24"/>
    <mergeCell ref="G31:J31"/>
    <mergeCell ref="G41:J41"/>
    <mergeCell ref="G64:J64"/>
    <mergeCell ref="G71:J71"/>
    <mergeCell ref="C36:D36"/>
    <mergeCell ref="C37:D37"/>
    <mergeCell ref="C76:D76"/>
    <mergeCell ref="C77:D77"/>
    <mergeCell ref="C80:D80"/>
    <mergeCell ref="C40:D40"/>
  </mergeCells>
  <phoneticPr fontId="0" type="noConversion"/>
  <conditionalFormatting sqref="E71">
    <cfRule type="cellIs" dxfId="172" priority="3" stopIfTrue="1" operator="greaterThan">
      <formula>$E$73*0.1</formula>
    </cfRule>
  </conditionalFormatting>
  <conditionalFormatting sqref="E76">
    <cfRule type="cellIs" dxfId="171" priority="4" stopIfTrue="1" operator="greaterThan">
      <formula>$E$73/0.95-$E$73</formula>
    </cfRule>
  </conditionalFormatting>
  <conditionalFormatting sqref="E36">
    <cfRule type="cellIs" dxfId="170" priority="5" stopIfTrue="1" operator="greaterThan">
      <formula>$E$33/0.95-$E$33</formula>
    </cfRule>
  </conditionalFormatting>
  <conditionalFormatting sqref="E31">
    <cfRule type="cellIs" dxfId="169" priority="6" stopIfTrue="1" operator="greaterThan">
      <formula>$E$33*0.1</formula>
    </cfRule>
  </conditionalFormatting>
  <conditionalFormatting sqref="C74 C34">
    <cfRule type="cellIs" dxfId="168" priority="7" stopIfTrue="1" operator="lessThan">
      <formula>0</formula>
    </cfRule>
  </conditionalFormatting>
  <conditionalFormatting sqref="C73">
    <cfRule type="cellIs" dxfId="167" priority="8" stopIfTrue="1" operator="greaterThan">
      <formula>$C$75</formula>
    </cfRule>
  </conditionalFormatting>
  <conditionalFormatting sqref="D73">
    <cfRule type="cellIs" dxfId="166" priority="9" stopIfTrue="1" operator="greaterThan">
      <formula>$D$75</formula>
    </cfRule>
  </conditionalFormatting>
  <conditionalFormatting sqref="C71">
    <cfRule type="cellIs" dxfId="165" priority="10" stopIfTrue="1" operator="greaterThan">
      <formula>$C$73*0.1</formula>
    </cfRule>
  </conditionalFormatting>
  <conditionalFormatting sqref="D71">
    <cfRule type="cellIs" dxfId="164" priority="11" stopIfTrue="1" operator="greaterThan">
      <formula>$D$73*0.1</formula>
    </cfRule>
  </conditionalFormatting>
  <conditionalFormatting sqref="E58">
    <cfRule type="cellIs" dxfId="163" priority="12" stopIfTrue="1" operator="greaterThan">
      <formula>$E$60*0.1+E80</formula>
    </cfRule>
  </conditionalFormatting>
  <conditionalFormatting sqref="C58">
    <cfRule type="cellIs" dxfId="162" priority="13" stopIfTrue="1" operator="greaterThan">
      <formula>$C$60*0.1</formula>
    </cfRule>
  </conditionalFormatting>
  <conditionalFormatting sqref="D58">
    <cfRule type="cellIs" dxfId="161" priority="14" stopIfTrue="1" operator="greaterThan">
      <formula>$D$60*0.1</formula>
    </cfRule>
  </conditionalFormatting>
  <conditionalFormatting sqref="C33">
    <cfRule type="cellIs" dxfId="160" priority="15" stopIfTrue="1" operator="greaterThan">
      <formula>$C$35</formula>
    </cfRule>
  </conditionalFormatting>
  <conditionalFormatting sqref="D33">
    <cfRule type="cellIs" dxfId="159" priority="16" stopIfTrue="1" operator="greaterThan">
      <formula>$D$35</formula>
    </cfRule>
  </conditionalFormatting>
  <conditionalFormatting sqref="C31">
    <cfRule type="cellIs" dxfId="158" priority="17" stopIfTrue="1" operator="greaterThan">
      <formula>$C$33*0.1</formula>
    </cfRule>
  </conditionalFormatting>
  <conditionalFormatting sqref="D31">
    <cfRule type="cellIs" dxfId="157" priority="18" stopIfTrue="1" operator="greaterThan">
      <formula>$D$33*0.1</formula>
    </cfRule>
  </conditionalFormatting>
  <conditionalFormatting sqref="E18">
    <cfRule type="cellIs" dxfId="156" priority="19" stopIfTrue="1" operator="greaterThan">
      <formula>$E$20*0.1+E40</formula>
    </cfRule>
  </conditionalFormatting>
  <conditionalFormatting sqref="C18">
    <cfRule type="cellIs" dxfId="155" priority="20" stopIfTrue="1" operator="greaterThan">
      <formula>$C$20*0.1</formula>
    </cfRule>
  </conditionalFormatting>
  <conditionalFormatting sqref="D18">
    <cfRule type="cellIs" dxfId="154" priority="21" stopIfTrue="1" operator="greaterThan">
      <formula>$D$20*0.1</formula>
    </cfRule>
  </conditionalFormatting>
  <conditionalFormatting sqref="D34 D74">
    <cfRule type="cellIs" dxfId="153" priority="2" stopIfTrue="1" operator="lessThan">
      <formula>0</formula>
    </cfRule>
  </conditionalFormatting>
  <pageMargins left="1.1200000000000001" right="0.5" top="0.74" bottom="0.34" header="0.5" footer="0"/>
  <pageSetup scale="53" orientation="portrait" blackAndWhite="1" horizontalDpi="300" verticalDpi="300" r:id="rId1"/>
  <headerFooter alignWithMargins="0">
    <oddHeader xml:space="preserve">&amp;RState of Kansas
County
</oddHeader>
  </headerFooter>
</worksheet>
</file>

<file path=xl/worksheets/sheet29.xml><?xml version="1.0" encoding="utf-8"?>
<worksheet xmlns="http://schemas.openxmlformats.org/spreadsheetml/2006/main" xmlns:r="http://schemas.openxmlformats.org/officeDocument/2006/relationships">
  <sheetPr codeName="Sheet24">
    <pageSetUpPr fitToPage="1"/>
  </sheetPr>
  <dimension ref="B1:E66"/>
  <sheetViews>
    <sheetView workbookViewId="0">
      <selection activeCell="E50" sqref="E50"/>
    </sheetView>
  </sheetViews>
  <sheetFormatPr defaultRowHeight="15.75"/>
  <cols>
    <col min="1" max="1" width="2.44140625" style="71" customWidth="1"/>
    <col min="2" max="2" width="31.109375" style="71" customWidth="1"/>
    <col min="3" max="4" width="15.77734375" style="71" customWidth="1"/>
    <col min="5" max="5" width="16.109375" style="71" customWidth="1"/>
    <col min="6" max="16384" width="8.88671875" style="71"/>
  </cols>
  <sheetData>
    <row r="1" spans="2:5">
      <c r="B1" s="226" t="str">
        <f>(inputPrYr!C2)</f>
        <v>Lyon County</v>
      </c>
      <c r="C1" s="84"/>
      <c r="D1" s="84"/>
      <c r="E1" s="284">
        <f>inputPrYr!C4</f>
        <v>2014</v>
      </c>
    </row>
    <row r="2" spans="2:5">
      <c r="B2" s="84"/>
      <c r="C2" s="84"/>
      <c r="D2" s="84"/>
      <c r="E2" s="238"/>
    </row>
    <row r="3" spans="2:5">
      <c r="B3" s="151" t="s">
        <v>237</v>
      </c>
      <c r="C3" s="331"/>
      <c r="D3" s="331"/>
      <c r="E3" s="332"/>
    </row>
    <row r="4" spans="2:5">
      <c r="B4" s="84"/>
      <c r="C4" s="325"/>
      <c r="D4" s="325"/>
      <c r="E4" s="325"/>
    </row>
    <row r="5" spans="2:5">
      <c r="B5" s="83" t="s">
        <v>159</v>
      </c>
      <c r="C5" s="321" t="str">
        <f>general!C4</f>
        <v xml:space="preserve">Prior Year </v>
      </c>
      <c r="D5" s="214" t="str">
        <f>general!D4</f>
        <v xml:space="preserve">Current Year </v>
      </c>
      <c r="E5" s="214" t="str">
        <f>general!E4</f>
        <v xml:space="preserve">Proposed Budget </v>
      </c>
    </row>
    <row r="6" spans="2:5">
      <c r="B6" s="482" t="str">
        <f>inputPrYr!B43</f>
        <v>Community Corrections (12)</v>
      </c>
      <c r="C6" s="313" t="str">
        <f>general!C5</f>
        <v>Actual for 2012</v>
      </c>
      <c r="D6" s="313" t="str">
        <f>general!D5</f>
        <v>Estimate for 2013</v>
      </c>
      <c r="E6" s="300" t="str">
        <f>general!E5</f>
        <v>Year for 2014</v>
      </c>
    </row>
    <row r="7" spans="2:5">
      <c r="B7" s="147" t="s">
        <v>278</v>
      </c>
      <c r="C7" s="111">
        <v>73665</v>
      </c>
      <c r="D7" s="263">
        <f>C30</f>
        <v>46869</v>
      </c>
      <c r="E7" s="263">
        <f>D30</f>
        <v>68468</v>
      </c>
    </row>
    <row r="8" spans="2:5">
      <c r="B8" s="334" t="s">
        <v>280</v>
      </c>
      <c r="C8" s="107"/>
      <c r="D8" s="107"/>
      <c r="E8" s="107"/>
    </row>
    <row r="9" spans="2:5">
      <c r="B9" s="316" t="s">
        <v>977</v>
      </c>
      <c r="C9" s="111">
        <v>21864</v>
      </c>
      <c r="D9" s="111">
        <v>28668</v>
      </c>
      <c r="E9" s="111"/>
    </row>
    <row r="10" spans="2:5">
      <c r="B10" s="316" t="s">
        <v>992</v>
      </c>
      <c r="C10" s="111">
        <v>367357</v>
      </c>
      <c r="D10" s="111">
        <v>361585</v>
      </c>
      <c r="E10" s="111">
        <v>368654</v>
      </c>
    </row>
    <row r="11" spans="2:5">
      <c r="B11" s="316"/>
      <c r="C11" s="111"/>
      <c r="D11" s="111"/>
      <c r="E11" s="111"/>
    </row>
    <row r="12" spans="2:5">
      <c r="B12" s="306" t="s">
        <v>167</v>
      </c>
      <c r="C12" s="111"/>
      <c r="D12" s="111"/>
      <c r="E12" s="111"/>
    </row>
    <row r="13" spans="2:5">
      <c r="B13" s="307" t="s">
        <v>75</v>
      </c>
      <c r="C13" s="111"/>
      <c r="D13" s="302"/>
      <c r="E13" s="302"/>
    </row>
    <row r="14" spans="2:5">
      <c r="B14" s="307" t="s">
        <v>682</v>
      </c>
      <c r="C14" s="478" t="str">
        <f>IF(C15*0.1&lt;C13,"Exceed 10% Rule","")</f>
        <v/>
      </c>
      <c r="D14" s="308" t="str">
        <f>IF(D15*0.1&lt;D13,"Exceed 10% Rule","")</f>
        <v/>
      </c>
      <c r="E14" s="308" t="str">
        <f>IF(E15*0.1&lt;E13,"Exceed 10% Rule","")</f>
        <v/>
      </c>
    </row>
    <row r="15" spans="2:5">
      <c r="B15" s="309" t="s">
        <v>168</v>
      </c>
      <c r="C15" s="350">
        <f>SUM(C9:C13)</f>
        <v>389221</v>
      </c>
      <c r="D15" s="350">
        <f>SUM(D9:D13)</f>
        <v>390253</v>
      </c>
      <c r="E15" s="350">
        <f>SUM(E9:E13)</f>
        <v>368654</v>
      </c>
    </row>
    <row r="16" spans="2:5">
      <c r="B16" s="309" t="s">
        <v>169</v>
      </c>
      <c r="C16" s="350">
        <f>C15+C7</f>
        <v>462886</v>
      </c>
      <c r="D16" s="350">
        <f>D15+D7</f>
        <v>437122</v>
      </c>
      <c r="E16" s="350">
        <f>E15+E7</f>
        <v>437122</v>
      </c>
    </row>
    <row r="17" spans="2:5">
      <c r="B17" s="147" t="s">
        <v>172</v>
      </c>
      <c r="C17" s="263"/>
      <c r="D17" s="263"/>
      <c r="E17" s="263"/>
    </row>
    <row r="18" spans="2:5">
      <c r="B18" s="316" t="s">
        <v>993</v>
      </c>
      <c r="C18" s="111">
        <f>36878+8966</f>
        <v>45844</v>
      </c>
      <c r="D18" s="111">
        <v>39660</v>
      </c>
      <c r="E18" s="111">
        <f>35054+9827</f>
        <v>44881</v>
      </c>
    </row>
    <row r="19" spans="2:5">
      <c r="B19" s="316" t="s">
        <v>994</v>
      </c>
      <c r="C19" s="111">
        <f>40345+8896</f>
        <v>49241</v>
      </c>
      <c r="D19" s="111">
        <v>44452</v>
      </c>
      <c r="E19" s="111">
        <f>35054+9827</f>
        <v>44881</v>
      </c>
    </row>
    <row r="20" spans="2:5">
      <c r="B20" s="316" t="s">
        <v>995</v>
      </c>
      <c r="C20" s="111">
        <v>320932</v>
      </c>
      <c r="D20" s="111">
        <v>284542</v>
      </c>
      <c r="E20" s="111">
        <f>129711+132022</f>
        <v>261733</v>
      </c>
    </row>
    <row r="21" spans="2:5">
      <c r="B21" s="316"/>
      <c r="C21" s="111"/>
      <c r="D21" s="111"/>
      <c r="E21" s="111"/>
    </row>
    <row r="22" spans="2:5">
      <c r="B22" s="316"/>
      <c r="C22" s="111"/>
      <c r="D22" s="111"/>
      <c r="E22" s="111"/>
    </row>
    <row r="23" spans="2:5">
      <c r="B23" s="316"/>
      <c r="C23" s="111"/>
      <c r="D23" s="111"/>
      <c r="E23" s="111"/>
    </row>
    <row r="24" spans="2:5">
      <c r="B24" s="316"/>
      <c r="C24" s="111"/>
      <c r="D24" s="111"/>
      <c r="E24" s="111"/>
    </row>
    <row r="25" spans="2:5">
      <c r="B25" s="316"/>
      <c r="C25" s="111"/>
      <c r="D25" s="111"/>
      <c r="E25" s="111"/>
    </row>
    <row r="26" spans="2:5">
      <c r="B26" s="316"/>
      <c r="C26" s="111"/>
      <c r="D26" s="111"/>
      <c r="E26" s="111"/>
    </row>
    <row r="27" spans="2:5">
      <c r="B27" s="307" t="s">
        <v>75</v>
      </c>
      <c r="C27" s="111"/>
      <c r="D27" s="302"/>
      <c r="E27" s="302"/>
    </row>
    <row r="28" spans="2:5">
      <c r="B28" s="307" t="s">
        <v>681</v>
      </c>
      <c r="C28" s="478" t="str">
        <f>IF(C29*0.1&lt;C27,"Exceed 10% Rule","")</f>
        <v/>
      </c>
      <c r="D28" s="308" t="str">
        <f>IF(D29*0.1&lt;D27,"Exceed 10% Rule","")</f>
        <v/>
      </c>
      <c r="E28" s="308" t="str">
        <f>IF(E29*0.1&lt;E27,"Exceed 10% Rule","")</f>
        <v/>
      </c>
    </row>
    <row r="29" spans="2:5">
      <c r="B29" s="309" t="s">
        <v>173</v>
      </c>
      <c r="C29" s="350">
        <f>SUM(C18:C27)</f>
        <v>416017</v>
      </c>
      <c r="D29" s="350">
        <f>SUM(D18:D27)</f>
        <v>368654</v>
      </c>
      <c r="E29" s="350">
        <f>SUM(E18:E27)</f>
        <v>351495</v>
      </c>
    </row>
    <row r="30" spans="2:5">
      <c r="B30" s="147" t="s">
        <v>279</v>
      </c>
      <c r="C30" s="119">
        <f>C16-C29</f>
        <v>46869</v>
      </c>
      <c r="D30" s="119">
        <f>D16-D29</f>
        <v>68468</v>
      </c>
      <c r="E30" s="119">
        <f>E16-E29</f>
        <v>85627</v>
      </c>
    </row>
    <row r="31" spans="2:5">
      <c r="B31" s="285" t="str">
        <f>CONCATENATE("",E$1-2,"/",E$1-1," Budget Authority Amount:")</f>
        <v>2012/2013 Budget Authority Amount:</v>
      </c>
      <c r="C31" s="277">
        <f>inputOth!B55</f>
        <v>368654</v>
      </c>
      <c r="D31" s="277">
        <f>inputPrYr!D43</f>
        <v>368654</v>
      </c>
      <c r="E31" s="477" t="str">
        <f>IF(E30&lt;0,"See Tab E","")</f>
        <v/>
      </c>
    </row>
    <row r="32" spans="2:5">
      <c r="B32" s="285"/>
      <c r="C32" s="319" t="str">
        <f>IF(C29&gt;C31,"See Tab A","")</f>
        <v>See Tab A</v>
      </c>
      <c r="D32" s="319" t="str">
        <f>IF(D29&gt;D31,"See Tab C","")</f>
        <v/>
      </c>
      <c r="E32" s="144"/>
    </row>
    <row r="33" spans="2:5">
      <c r="B33" s="285"/>
      <c r="C33" s="319" t="str">
        <f>IF(C30&lt;0,"See Tab B","")</f>
        <v/>
      </c>
      <c r="D33" s="319" t="str">
        <f>IF(D30&lt;0,"See Tab D","")</f>
        <v/>
      </c>
      <c r="E33" s="144"/>
    </row>
    <row r="34" spans="2:5">
      <c r="B34" s="84"/>
      <c r="C34" s="144"/>
      <c r="D34" s="144"/>
      <c r="E34" s="144"/>
    </row>
    <row r="35" spans="2:5">
      <c r="B35" s="83" t="s">
        <v>159</v>
      </c>
      <c r="C35" s="325"/>
      <c r="D35" s="325"/>
      <c r="E35" s="325"/>
    </row>
    <row r="36" spans="2:5">
      <c r="B36" s="84"/>
      <c r="C36" s="321" t="str">
        <f t="shared" ref="C36:E37" si="0">C5</f>
        <v xml:space="preserve">Prior Year </v>
      </c>
      <c r="D36" s="214" t="str">
        <f t="shared" si="0"/>
        <v xml:space="preserve">Current Year </v>
      </c>
      <c r="E36" s="214" t="str">
        <f t="shared" si="0"/>
        <v xml:space="preserve">Proposed Budget </v>
      </c>
    </row>
    <row r="37" spans="2:5">
      <c r="B37" s="481" t="str">
        <f>inputPrYr!B44</f>
        <v>Cert Grant (13)</v>
      </c>
      <c r="C37" s="313" t="str">
        <f t="shared" si="0"/>
        <v>Actual for 2012</v>
      </c>
      <c r="D37" s="313" t="str">
        <f t="shared" si="0"/>
        <v>Estimate for 2013</v>
      </c>
      <c r="E37" s="300" t="str">
        <f t="shared" si="0"/>
        <v>Year for 2014</v>
      </c>
    </row>
    <row r="38" spans="2:5">
      <c r="B38" s="147" t="s">
        <v>278</v>
      </c>
      <c r="C38" s="111">
        <v>4687</v>
      </c>
      <c r="D38" s="263">
        <f>C61</f>
        <v>3168</v>
      </c>
      <c r="E38" s="263">
        <f>D61</f>
        <v>3029</v>
      </c>
    </row>
    <row r="39" spans="2:5">
      <c r="B39" s="147" t="s">
        <v>280</v>
      </c>
      <c r="C39" s="107"/>
      <c r="D39" s="107"/>
      <c r="E39" s="107"/>
    </row>
    <row r="40" spans="2:5">
      <c r="B40" s="316"/>
      <c r="C40" s="111"/>
      <c r="D40" s="111"/>
      <c r="E40" s="111"/>
    </row>
    <row r="41" spans="2:5">
      <c r="B41" s="316"/>
      <c r="C41" s="111"/>
      <c r="D41" s="111"/>
      <c r="E41" s="111"/>
    </row>
    <row r="42" spans="2:5">
      <c r="B42" s="316"/>
      <c r="C42" s="111"/>
      <c r="D42" s="111"/>
      <c r="E42" s="111"/>
    </row>
    <row r="43" spans="2:5">
      <c r="B43" s="306" t="s">
        <v>167</v>
      </c>
      <c r="C43" s="111"/>
      <c r="D43" s="111"/>
      <c r="E43" s="111"/>
    </row>
    <row r="44" spans="2:5">
      <c r="B44" s="307" t="s">
        <v>75</v>
      </c>
      <c r="C44" s="111"/>
      <c r="D44" s="302"/>
      <c r="E44" s="302"/>
    </row>
    <row r="45" spans="2:5">
      <c r="B45" s="307" t="s">
        <v>682</v>
      </c>
      <c r="C45" s="478" t="str">
        <f>IF(C46*0.1&lt;C44,"Exceed 10% Rule","")</f>
        <v/>
      </c>
      <c r="D45" s="308" t="str">
        <f>IF(D46*0.1&lt;D44,"Exceed 10% Rule","")</f>
        <v/>
      </c>
      <c r="E45" s="308" t="str">
        <f>IF(E46*0.1&lt;E44,"Exceed 10% Rule","")</f>
        <v/>
      </c>
    </row>
    <row r="46" spans="2:5">
      <c r="B46" s="309" t="s">
        <v>168</v>
      </c>
      <c r="C46" s="350">
        <f>SUM(C40:C44)</f>
        <v>0</v>
      </c>
      <c r="D46" s="350">
        <f>SUM(D40:D44)</f>
        <v>0</v>
      </c>
      <c r="E46" s="350">
        <f>SUM(E40:E44)</f>
        <v>0</v>
      </c>
    </row>
    <row r="47" spans="2:5">
      <c r="B47" s="309" t="s">
        <v>169</v>
      </c>
      <c r="C47" s="350">
        <f>C38+C46</f>
        <v>4687</v>
      </c>
      <c r="D47" s="350">
        <f>D38+D46</f>
        <v>3168</v>
      </c>
      <c r="E47" s="350">
        <f>E38+E46</f>
        <v>3029</v>
      </c>
    </row>
    <row r="48" spans="2:5">
      <c r="B48" s="147" t="s">
        <v>172</v>
      </c>
      <c r="C48" s="263"/>
      <c r="D48" s="263"/>
      <c r="E48" s="263"/>
    </row>
    <row r="49" spans="2:5">
      <c r="B49" s="316" t="s">
        <v>973</v>
      </c>
      <c r="C49" s="111">
        <v>893</v>
      </c>
      <c r="D49" s="111">
        <v>139</v>
      </c>
      <c r="E49" s="111">
        <v>3029</v>
      </c>
    </row>
    <row r="50" spans="2:5">
      <c r="B50" s="316" t="s">
        <v>974</v>
      </c>
      <c r="C50" s="111">
        <v>626</v>
      </c>
      <c r="D50" s="111"/>
      <c r="E50" s="111"/>
    </row>
    <row r="51" spans="2:5">
      <c r="B51" s="316"/>
      <c r="C51" s="111"/>
      <c r="D51" s="111"/>
      <c r="E51" s="111"/>
    </row>
    <row r="52" spans="2:5">
      <c r="B52" s="316"/>
      <c r="C52" s="111"/>
      <c r="D52" s="111"/>
      <c r="E52" s="111"/>
    </row>
    <row r="53" spans="2:5">
      <c r="B53" s="316"/>
      <c r="C53" s="111"/>
      <c r="D53" s="111"/>
      <c r="E53" s="111"/>
    </row>
    <row r="54" spans="2:5">
      <c r="B54" s="316"/>
      <c r="C54" s="111"/>
      <c r="D54" s="111"/>
      <c r="E54" s="111"/>
    </row>
    <row r="55" spans="2:5">
      <c r="B55" s="316"/>
      <c r="C55" s="111"/>
      <c r="D55" s="111"/>
      <c r="E55" s="111"/>
    </row>
    <row r="56" spans="2:5">
      <c r="B56" s="316"/>
      <c r="C56" s="111"/>
      <c r="D56" s="111"/>
      <c r="E56" s="111"/>
    </row>
    <row r="57" spans="2:5">
      <c r="B57" s="316"/>
      <c r="C57" s="111"/>
      <c r="D57" s="111"/>
      <c r="E57" s="111"/>
    </row>
    <row r="58" spans="2:5">
      <c r="B58" s="307" t="s">
        <v>75</v>
      </c>
      <c r="C58" s="111"/>
      <c r="D58" s="302"/>
      <c r="E58" s="302"/>
    </row>
    <row r="59" spans="2:5">
      <c r="B59" s="307" t="s">
        <v>681</v>
      </c>
      <c r="C59" s="478" t="str">
        <f>IF(C60*0.1&lt;C58,"Exceed 10% Rule","")</f>
        <v/>
      </c>
      <c r="D59" s="308" t="str">
        <f>IF(D60*0.1&lt;D58,"Exceed 10% Rule","")</f>
        <v/>
      </c>
      <c r="E59" s="308" t="str">
        <f>IF(E60*0.1&lt;E58,"Exceed 10% Rule","")</f>
        <v/>
      </c>
    </row>
    <row r="60" spans="2:5">
      <c r="B60" s="309" t="s">
        <v>173</v>
      </c>
      <c r="C60" s="350">
        <f>SUM(C49:C58)</f>
        <v>1519</v>
      </c>
      <c r="D60" s="350">
        <f>SUM(D49:D58)</f>
        <v>139</v>
      </c>
      <c r="E60" s="350">
        <f>SUM(E49:E58)</f>
        <v>3029</v>
      </c>
    </row>
    <row r="61" spans="2:5">
      <c r="B61" s="147" t="s">
        <v>279</v>
      </c>
      <c r="C61" s="119">
        <f>C47-C60</f>
        <v>3168</v>
      </c>
      <c r="D61" s="119">
        <f>D47-D60</f>
        <v>3029</v>
      </c>
      <c r="E61" s="119">
        <f>E47-E60</f>
        <v>0</v>
      </c>
    </row>
    <row r="62" spans="2:5">
      <c r="B62" s="285" t="str">
        <f>CONCATENATE("",E$1-2,"/",E$1-1," Budget Authority Amount:")</f>
        <v>2012/2013 Budget Authority Amount:</v>
      </c>
      <c r="C62" s="277">
        <f>inputOth!B56</f>
        <v>3029</v>
      </c>
      <c r="D62" s="277">
        <f>inputPrYr!D44</f>
        <v>3029</v>
      </c>
      <c r="E62" s="476" t="str">
        <f>IF(E61&lt;0,"See Tab E","")</f>
        <v/>
      </c>
    </row>
    <row r="63" spans="2:5">
      <c r="B63" s="285"/>
      <c r="C63" s="319" t="str">
        <f>IF(C60&gt;C62,"See Tab A","")</f>
        <v/>
      </c>
      <c r="D63" s="319" t="str">
        <f>IF(D60&gt;D62,"See Tab C","")</f>
        <v/>
      </c>
      <c r="E63" s="84"/>
    </row>
    <row r="64" spans="2:5">
      <c r="B64" s="285"/>
      <c r="C64" s="319" t="str">
        <f>IF(C61&lt;0,"See Tab B","")</f>
        <v/>
      </c>
      <c r="D64" s="319" t="str">
        <f>IF(D61&lt;0,"See Tab D","")</f>
        <v/>
      </c>
      <c r="E64" s="84"/>
    </row>
    <row r="65" spans="2:5">
      <c r="B65" s="84"/>
      <c r="C65" s="84"/>
      <c r="D65" s="84"/>
      <c r="E65" s="84"/>
    </row>
    <row r="66" spans="2:5">
      <c r="B66" s="285" t="s">
        <v>188</v>
      </c>
      <c r="C66" s="347">
        <v>16</v>
      </c>
      <c r="D66" s="84"/>
      <c r="E66" s="84"/>
    </row>
  </sheetData>
  <sheetProtection sheet="1"/>
  <phoneticPr fontId="0" type="noConversion"/>
  <conditionalFormatting sqref="C27">
    <cfRule type="cellIs" dxfId="152" priority="7" stopIfTrue="1" operator="greaterThan">
      <formula>$C$29*0.1</formula>
    </cfRule>
  </conditionalFormatting>
  <conditionalFormatting sqref="D27">
    <cfRule type="cellIs" dxfId="151" priority="8" stopIfTrue="1" operator="greaterThan">
      <formula>$D$29*0.1</formula>
    </cfRule>
  </conditionalFormatting>
  <conditionalFormatting sqref="E27">
    <cfRule type="cellIs" dxfId="150" priority="9" stopIfTrue="1" operator="greaterThan">
      <formula>$E$29*0.1</formula>
    </cfRule>
  </conditionalFormatting>
  <conditionalFormatting sqref="C13">
    <cfRule type="cellIs" dxfId="149" priority="10" stopIfTrue="1" operator="greaterThan">
      <formula>$C$15*0.1</formula>
    </cfRule>
  </conditionalFormatting>
  <conditionalFormatting sqref="D13">
    <cfRule type="cellIs" dxfId="148" priority="11" stopIfTrue="1" operator="greaterThan">
      <formula>$D$15*0.1</formula>
    </cfRule>
  </conditionalFormatting>
  <conditionalFormatting sqref="E13">
    <cfRule type="cellIs" dxfId="147" priority="12" stopIfTrue="1" operator="greaterThan">
      <formula>$E$15*0.1</formula>
    </cfRule>
  </conditionalFormatting>
  <conditionalFormatting sqref="C44">
    <cfRule type="cellIs" dxfId="146" priority="13" stopIfTrue="1" operator="greaterThan">
      <formula>$C$46*0.1</formula>
    </cfRule>
  </conditionalFormatting>
  <conditionalFormatting sqref="D44">
    <cfRule type="cellIs" dxfId="145" priority="14" stopIfTrue="1" operator="greaterThan">
      <formula>$D$46*0.1</formula>
    </cfRule>
  </conditionalFormatting>
  <conditionalFormatting sqref="E44">
    <cfRule type="cellIs" dxfId="144" priority="15" stopIfTrue="1" operator="greaterThan">
      <formula>$E$46*0.1</formula>
    </cfRule>
  </conditionalFormatting>
  <conditionalFormatting sqref="C58">
    <cfRule type="cellIs" dxfId="143" priority="16" stopIfTrue="1" operator="greaterThan">
      <formula>$C$60*0.1</formula>
    </cfRule>
  </conditionalFormatting>
  <conditionalFormatting sqref="D58">
    <cfRule type="cellIs" dxfId="142" priority="17" stopIfTrue="1" operator="greaterThan">
      <formula>$D$60*0.1</formula>
    </cfRule>
  </conditionalFormatting>
  <conditionalFormatting sqref="E58">
    <cfRule type="cellIs" dxfId="141" priority="18" stopIfTrue="1" operator="greaterThan">
      <formula>$E$60*0.1</formula>
    </cfRule>
  </conditionalFormatting>
  <conditionalFormatting sqref="E61 C61 E30">
    <cfRule type="cellIs" dxfId="140" priority="19" stopIfTrue="1" operator="lessThan">
      <formula>0</formula>
    </cfRule>
  </conditionalFormatting>
  <conditionalFormatting sqref="D60">
    <cfRule type="cellIs" dxfId="139" priority="20" stopIfTrue="1" operator="greaterThan">
      <formula>$D$62</formula>
    </cfRule>
  </conditionalFormatting>
  <conditionalFormatting sqref="C60">
    <cfRule type="cellIs" dxfId="138" priority="21" stopIfTrue="1" operator="greaterThan">
      <formula>$C$62</formula>
    </cfRule>
  </conditionalFormatting>
  <conditionalFormatting sqref="C29">
    <cfRule type="cellIs" dxfId="137" priority="6" stopIfTrue="1" operator="greaterThan">
      <formula>$C$31</formula>
    </cfRule>
  </conditionalFormatting>
  <conditionalFormatting sqref="D29">
    <cfRule type="cellIs" dxfId="136" priority="5" stopIfTrue="1" operator="greaterThan">
      <formula>$D$31</formula>
    </cfRule>
  </conditionalFormatting>
  <conditionalFormatting sqref="C30">
    <cfRule type="cellIs" dxfId="135" priority="4" stopIfTrue="1" operator="lessThan">
      <formula>0</formula>
    </cfRule>
  </conditionalFormatting>
  <conditionalFormatting sqref="D30">
    <cfRule type="cellIs" dxfId="134" priority="2" stopIfTrue="1" operator="lessThan">
      <formula>0</formula>
    </cfRule>
    <cfRule type="cellIs" dxfId="133" priority="3" stopIfTrue="1" operator="lessThan">
      <formula>0</formula>
    </cfRule>
  </conditionalFormatting>
  <conditionalFormatting sqref="D61">
    <cfRule type="cellIs" dxfId="132" priority="1" stopIfTrue="1" operator="lessThan">
      <formula>0</formula>
    </cfRule>
  </conditionalFormatting>
  <pageMargins left="1.1200000000000001" right="0.5" top="0.74" bottom="0.34" header="0.5" footer="0"/>
  <pageSetup scale="70" orientation="portrait" blackAndWhite="1" horizontalDpi="120" verticalDpi="144" r:id="rId1"/>
  <headerFooter alignWithMargins="0">
    <oddHeader xml:space="preserve">&amp;RState of Kansas
County
</oddHeader>
  </headerFooter>
</worksheet>
</file>

<file path=xl/worksheets/sheet3.xml><?xml version="1.0" encoding="utf-8"?>
<worksheet xmlns="http://schemas.openxmlformats.org/spreadsheetml/2006/main" xmlns:r="http://schemas.openxmlformats.org/officeDocument/2006/relationships">
  <dimension ref="A1:E70"/>
  <sheetViews>
    <sheetView zoomScaleNormal="100" workbookViewId="0">
      <selection activeCell="B40" sqref="B40"/>
    </sheetView>
  </sheetViews>
  <sheetFormatPr defaultRowHeight="15.75"/>
  <cols>
    <col min="1" max="1" width="15.77734375" style="71" customWidth="1"/>
    <col min="2" max="2" width="20.77734375" style="71" customWidth="1"/>
    <col min="3" max="3" width="9.77734375" style="71" customWidth="1"/>
    <col min="4" max="4" width="15.33203125" style="71" customWidth="1"/>
    <col min="5" max="5" width="15.77734375" style="71" customWidth="1"/>
    <col min="6" max="16384" width="8.88671875" style="71"/>
  </cols>
  <sheetData>
    <row r="1" spans="1:5">
      <c r="A1" s="143" t="str">
        <f>inputPrYr!C2</f>
        <v>Lyon County</v>
      </c>
      <c r="B1" s="124"/>
      <c r="C1" s="124"/>
      <c r="D1" s="124"/>
      <c r="E1" s="124">
        <f>inputPrYr!C4</f>
        <v>2014</v>
      </c>
    </row>
    <row r="2" spans="1:5">
      <c r="A2" s="143"/>
      <c r="B2" s="124"/>
      <c r="C2" s="124"/>
      <c r="D2" s="124"/>
      <c r="E2" s="124"/>
    </row>
    <row r="3" spans="1:5">
      <c r="A3" s="748" t="s">
        <v>60</v>
      </c>
      <c r="B3" s="749"/>
      <c r="C3" s="749"/>
      <c r="D3" s="749"/>
      <c r="E3" s="749"/>
    </row>
    <row r="4" spans="1:5">
      <c r="A4" s="124"/>
      <c r="B4" s="124"/>
      <c r="C4" s="124"/>
      <c r="D4" s="124"/>
      <c r="E4" s="124"/>
    </row>
    <row r="5" spans="1:5">
      <c r="A5" s="123" t="str">
        <f>CONCATENATE("From the County Clerks ",E1," Budget Information:")</f>
        <v>From the County Clerks 2014 Budget Information:</v>
      </c>
      <c r="B5" s="125"/>
      <c r="C5" s="94"/>
      <c r="D5" s="84"/>
      <c r="E5" s="144"/>
    </row>
    <row r="6" spans="1:5">
      <c r="A6" s="145" t="str">
        <f>CONCATENATE("Total Assessed Valuation for ",E1-1,"")</f>
        <v>Total Assessed Valuation for 2013</v>
      </c>
      <c r="B6" s="131"/>
      <c r="C6" s="131"/>
      <c r="D6" s="131"/>
      <c r="E6" s="111">
        <v>269025233</v>
      </c>
    </row>
    <row r="7" spans="1:5">
      <c r="A7" s="145" t="str">
        <f>CONCATENATE("New Improvements for ",E1-1,"")</f>
        <v>New Improvements for 2013</v>
      </c>
      <c r="B7" s="131"/>
      <c r="C7" s="131"/>
      <c r="D7" s="131"/>
      <c r="E7" s="146">
        <v>1088901</v>
      </c>
    </row>
    <row r="8" spans="1:5">
      <c r="A8" s="145" t="str">
        <f>CONCATENATE("Personal Property excluding oil, gas, and mobile homes- ",E1-1,"")</f>
        <v>Personal Property excluding oil, gas, and mobile homes- 2013</v>
      </c>
      <c r="B8" s="131"/>
      <c r="C8" s="131"/>
      <c r="D8" s="131"/>
      <c r="E8" s="146">
        <v>10034310</v>
      </c>
    </row>
    <row r="9" spans="1:5">
      <c r="A9" s="145" t="str">
        <f>CONCATENATE("Property that has changed in use for ",E1-1,"")</f>
        <v>Property that has changed in use for 2013</v>
      </c>
      <c r="B9" s="131"/>
      <c r="C9" s="131"/>
      <c r="D9" s="131"/>
      <c r="E9" s="146">
        <v>1213310</v>
      </c>
    </row>
    <row r="10" spans="1:5">
      <c r="A10" s="145" t="str">
        <f>CONCATENATE("Personal Property excluding oil, gas, and mobile homes- ",E1-2,"")</f>
        <v>Personal Property excluding oil, gas, and mobile homes- 2012</v>
      </c>
      <c r="B10" s="131"/>
      <c r="C10" s="131"/>
      <c r="D10" s="131"/>
      <c r="E10" s="146">
        <v>11138606</v>
      </c>
    </row>
    <row r="11" spans="1:5">
      <c r="A11" s="145" t="str">
        <f>CONCATENATE("Gross earnings (intangible) tax esitmate for ",E1,"")</f>
        <v>Gross earnings (intangible) tax esitmate for 2014</v>
      </c>
      <c r="B11" s="131"/>
      <c r="C11" s="131"/>
      <c r="D11" s="131"/>
      <c r="E11" s="111">
        <v>0</v>
      </c>
    </row>
    <row r="12" spans="1:5">
      <c r="A12" s="147" t="s">
        <v>332</v>
      </c>
      <c r="B12" s="131"/>
      <c r="C12" s="131"/>
      <c r="D12" s="114"/>
      <c r="E12" s="111">
        <v>1565485</v>
      </c>
    </row>
    <row r="13" spans="1:5">
      <c r="A13" s="84"/>
      <c r="B13" s="84"/>
      <c r="C13" s="84"/>
      <c r="D13" s="100"/>
      <c r="E13" s="100"/>
    </row>
    <row r="14" spans="1:5">
      <c r="A14" s="123" t="str">
        <f>CONCATENATE("From the County Treasurer's ",E1," Budget Information:")</f>
        <v>From the County Treasurer's 2014 Budget Information:</v>
      </c>
      <c r="B14" s="125"/>
      <c r="C14" s="125"/>
      <c r="D14" s="144"/>
      <c r="E14" s="144"/>
    </row>
    <row r="15" spans="1:5">
      <c r="A15" s="112" t="s">
        <v>133</v>
      </c>
      <c r="B15" s="113"/>
      <c r="C15" s="113"/>
      <c r="D15" s="148"/>
      <c r="E15" s="111">
        <v>1684542</v>
      </c>
    </row>
    <row r="16" spans="1:5">
      <c r="A16" s="145" t="s">
        <v>134</v>
      </c>
      <c r="B16" s="131"/>
      <c r="C16" s="131"/>
      <c r="D16" s="149"/>
      <c r="E16" s="111">
        <v>24343.57</v>
      </c>
    </row>
    <row r="17" spans="1:5">
      <c r="A17" s="145" t="s">
        <v>241</v>
      </c>
      <c r="B17" s="131"/>
      <c r="C17" s="131"/>
      <c r="D17" s="149"/>
      <c r="E17" s="111">
        <v>76589.73</v>
      </c>
    </row>
    <row r="18" spans="1:5">
      <c r="A18" s="145" t="s">
        <v>333</v>
      </c>
      <c r="B18" s="131"/>
      <c r="C18" s="131"/>
      <c r="D18" s="150"/>
      <c r="E18" s="111"/>
    </row>
    <row r="19" spans="1:5">
      <c r="A19" s="145" t="s">
        <v>334</v>
      </c>
      <c r="B19" s="131"/>
      <c r="C19" s="131"/>
      <c r="D19" s="150"/>
      <c r="E19" s="111"/>
    </row>
    <row r="20" spans="1:5">
      <c r="A20" s="84"/>
      <c r="B20" s="84"/>
      <c r="C20" s="84"/>
      <c r="D20" s="84"/>
      <c r="E20" s="84"/>
    </row>
    <row r="21" spans="1:5">
      <c r="A21" s="151" t="s">
        <v>335</v>
      </c>
      <c r="B21" s="84"/>
      <c r="C21" s="84"/>
      <c r="D21" s="84"/>
      <c r="E21" s="84"/>
    </row>
    <row r="22" spans="1:5">
      <c r="A22" s="696" t="str">
        <f>CONCATENATE("Actual Delinquency for ",E1-3," Tax - (rate .01213 = 1.213%, key in 1.2)")</f>
        <v>Actual Delinquency for 2011 Tax - (rate .01213 = 1.213%, key in 1.2)</v>
      </c>
      <c r="B22" s="113"/>
      <c r="C22" s="113"/>
      <c r="D22" s="118"/>
      <c r="E22" s="695">
        <v>2.247E-2</v>
      </c>
    </row>
    <row r="23" spans="1:5">
      <c r="A23" s="699" t="s">
        <v>837</v>
      </c>
      <c r="B23" s="113"/>
      <c r="C23" s="113"/>
      <c r="D23" s="113"/>
      <c r="E23" s="698">
        <v>0.03</v>
      </c>
    </row>
    <row r="24" spans="1:5">
      <c r="A24" s="81" t="s">
        <v>336</v>
      </c>
      <c r="B24" s="81"/>
      <c r="C24" s="81"/>
      <c r="D24" s="81"/>
      <c r="E24" s="81"/>
    </row>
    <row r="25" spans="1:5">
      <c r="A25" s="153"/>
      <c r="B25" s="153"/>
      <c r="C25" s="153"/>
      <c r="D25" s="153"/>
      <c r="E25" s="153"/>
    </row>
    <row r="26" spans="1:5">
      <c r="A26" s="753" t="str">
        <f>CONCATENATE("From the ",E1-2," Budget Certificate Page")</f>
        <v>From the 2012 Budget Certificate Page</v>
      </c>
      <c r="B26" s="754"/>
      <c r="C26" s="153"/>
      <c r="D26" s="153"/>
      <c r="E26" s="153"/>
    </row>
    <row r="27" spans="1:5">
      <c r="A27" s="154"/>
      <c r="B27" s="755" t="str">
        <f>CONCATENATE("",E1-2,"                         Expenditure Amt Budget Authority")</f>
        <v>2012                         Expenditure Amt Budget Authority</v>
      </c>
      <c r="C27" s="758" t="str">
        <f>CONCATENATE("Note: If the ",E1-2," budget was amended, then the")</f>
        <v>Note: If the 2012 budget was amended, then the</v>
      </c>
      <c r="D27" s="759"/>
      <c r="E27" s="759"/>
    </row>
    <row r="28" spans="1:5">
      <c r="A28" s="155" t="s">
        <v>71</v>
      </c>
      <c r="B28" s="756"/>
      <c r="C28" s="156" t="s">
        <v>72</v>
      </c>
      <c r="D28" s="157"/>
      <c r="E28" s="157"/>
    </row>
    <row r="29" spans="1:5">
      <c r="A29" s="158"/>
      <c r="B29" s="757"/>
      <c r="C29" s="156" t="s">
        <v>73</v>
      </c>
      <c r="D29" s="157"/>
      <c r="E29" s="157"/>
    </row>
    <row r="30" spans="1:5">
      <c r="A30" s="725" t="str">
        <f>inputPrYr!B16</f>
        <v>General</v>
      </c>
      <c r="B30" s="160">
        <v>12356731</v>
      </c>
      <c r="C30" s="156"/>
      <c r="D30" s="157"/>
      <c r="E30" s="157"/>
    </row>
    <row r="31" spans="1:5">
      <c r="A31" s="725" t="str">
        <f>inputPrYr!B17</f>
        <v>Debt Service</v>
      </c>
      <c r="B31" s="104">
        <v>0</v>
      </c>
      <c r="C31" s="156"/>
      <c r="D31" s="157"/>
      <c r="E31" s="157"/>
    </row>
    <row r="32" spans="1:5">
      <c r="A32" s="725" t="str">
        <f>inputPrYr!B18</f>
        <v>Road &amp; Bridge</v>
      </c>
      <c r="B32" s="104">
        <v>5733860</v>
      </c>
      <c r="C32" s="153"/>
      <c r="D32" s="153"/>
      <c r="E32" s="153"/>
    </row>
    <row r="33" spans="1:5">
      <c r="A33" s="725" t="str">
        <f>inputPrYr!B19</f>
        <v>Multi-year Cap Imp (17)</v>
      </c>
      <c r="B33" s="104">
        <v>1031400</v>
      </c>
      <c r="C33" s="153"/>
      <c r="D33" s="153"/>
      <c r="E33" s="153"/>
    </row>
    <row r="34" spans="1:5">
      <c r="A34" s="725" t="str">
        <f>inputPrYr!B20</f>
        <v>Mental Health (23)</v>
      </c>
      <c r="B34" s="104">
        <v>282737</v>
      </c>
      <c r="C34" s="153"/>
      <c r="D34" s="153"/>
      <c r="E34" s="153"/>
    </row>
    <row r="35" spans="1:5">
      <c r="A35" s="725" t="str">
        <f>inputPrYr!B21</f>
        <v>Newman Hospital (25)</v>
      </c>
      <c r="B35" s="104">
        <v>425000</v>
      </c>
      <c r="C35" s="153"/>
      <c r="D35" s="153"/>
      <c r="E35" s="153"/>
    </row>
    <row r="36" spans="1:5">
      <c r="A36" s="725" t="str">
        <f>inputPrYr!B22</f>
        <v>Noxious Weeds (26)</v>
      </c>
      <c r="B36" s="104">
        <v>306750</v>
      </c>
      <c r="C36" s="153"/>
      <c r="D36" s="153"/>
      <c r="E36" s="153"/>
    </row>
    <row r="37" spans="1:5">
      <c r="A37" s="725" t="str">
        <f>inputPrYr!B23</f>
        <v>Hetlinger Development (28)</v>
      </c>
      <c r="B37" s="104">
        <v>20000</v>
      </c>
      <c r="C37" s="153"/>
      <c r="D37" s="153"/>
      <c r="E37" s="153"/>
    </row>
    <row r="38" spans="1:5">
      <c r="A38" s="725" t="str">
        <f>inputPrYr!B24</f>
        <v>Special Bridge 1135 (33)</v>
      </c>
      <c r="B38" s="104">
        <v>653759</v>
      </c>
      <c r="C38" s="153"/>
      <c r="D38" s="153"/>
      <c r="E38" s="153"/>
    </row>
    <row r="39" spans="1:5">
      <c r="A39" s="725" t="str">
        <f>inputPrYr!B25</f>
        <v>Special R&amp;B 559A (41)</v>
      </c>
      <c r="B39" s="104">
        <v>346000</v>
      </c>
      <c r="C39" s="153"/>
      <c r="D39" s="153"/>
      <c r="E39" s="153"/>
    </row>
    <row r="40" spans="1:5">
      <c r="A40" s="725" t="str">
        <f>inputPrYr!B26</f>
        <v xml:space="preserve">Tort Liability (53) </v>
      </c>
      <c r="B40" s="104">
        <v>280000</v>
      </c>
      <c r="C40" s="153"/>
      <c r="D40" s="153"/>
      <c r="E40" s="153"/>
    </row>
    <row r="41" spans="1:5">
      <c r="A41" s="725" t="str">
        <f>inputPrYr!B27</f>
        <v>Health Department (66)</v>
      </c>
      <c r="B41" s="104">
        <v>608833</v>
      </c>
      <c r="C41" s="153"/>
      <c r="D41" s="153"/>
      <c r="E41" s="153"/>
    </row>
    <row r="42" spans="1:5">
      <c r="A42" s="725" t="str">
        <f>inputPrYr!B28</f>
        <v>Bond &amp; Interest (50)</v>
      </c>
      <c r="B42" s="104">
        <v>0</v>
      </c>
      <c r="C42" s="153"/>
      <c r="D42" s="153"/>
      <c r="E42" s="153"/>
    </row>
    <row r="43" spans="1:5">
      <c r="A43" s="725" t="str">
        <f>inputPrYr!B29</f>
        <v>No Fund Warrant (51)</v>
      </c>
      <c r="B43" s="104">
        <v>0</v>
      </c>
      <c r="C43" s="153"/>
      <c r="D43" s="153"/>
      <c r="E43" s="153"/>
    </row>
    <row r="44" spans="1:5">
      <c r="A44" s="159">
        <f>inputPrYr!B30</f>
        <v>0</v>
      </c>
      <c r="B44" s="104"/>
      <c r="C44" s="153"/>
      <c r="D44" s="153"/>
      <c r="E44" s="153"/>
    </row>
    <row r="45" spans="1:5">
      <c r="A45" s="159">
        <f>inputPrYr!B31</f>
        <v>0</v>
      </c>
      <c r="B45" s="104"/>
      <c r="C45" s="153"/>
      <c r="D45" s="153"/>
      <c r="E45" s="153"/>
    </row>
    <row r="46" spans="1:5" hidden="1">
      <c r="A46" s="159">
        <f>inputPrYr!B32</f>
        <v>0</v>
      </c>
      <c r="B46" s="104"/>
      <c r="C46" s="153"/>
      <c r="D46" s="153"/>
      <c r="E46" s="153"/>
    </row>
    <row r="47" spans="1:5" hidden="1">
      <c r="A47" s="159">
        <f>inputPrYr!B33</f>
        <v>0</v>
      </c>
      <c r="B47" s="104"/>
      <c r="C47" s="153"/>
      <c r="D47" s="153"/>
      <c r="E47" s="153"/>
    </row>
    <row r="48" spans="1:5" hidden="1">
      <c r="A48" s="159">
        <f>inputPrYr!B34</f>
        <v>0</v>
      </c>
      <c r="B48" s="104"/>
      <c r="C48" s="153"/>
      <c r="D48" s="153"/>
      <c r="E48" s="153"/>
    </row>
    <row r="49" spans="1:5" hidden="1">
      <c r="A49" s="159">
        <f>inputPrYr!B35</f>
        <v>0</v>
      </c>
      <c r="B49" s="104"/>
      <c r="C49" s="153"/>
      <c r="D49" s="153"/>
      <c r="E49" s="153"/>
    </row>
    <row r="50" spans="1:5" hidden="1">
      <c r="A50" s="159">
        <f>inputPrYr!B36</f>
        <v>0</v>
      </c>
      <c r="B50" s="104"/>
      <c r="C50" s="153"/>
      <c r="D50" s="153"/>
      <c r="E50" s="153"/>
    </row>
    <row r="51" spans="1:5" hidden="1">
      <c r="A51" s="159">
        <f>inputPrYr!B37</f>
        <v>0</v>
      </c>
      <c r="B51" s="104"/>
      <c r="C51" s="153"/>
      <c r="D51" s="153"/>
      <c r="E51" s="153"/>
    </row>
    <row r="52" spans="1:5" hidden="1">
      <c r="A52" s="159">
        <f>inputPrYr!B38</f>
        <v>0</v>
      </c>
      <c r="B52" s="104"/>
      <c r="C52" s="153"/>
      <c r="D52" s="153"/>
      <c r="E52" s="153"/>
    </row>
    <row r="53" spans="1:5" hidden="1">
      <c r="A53" s="159">
        <f>inputPrYr!B39</f>
        <v>0</v>
      </c>
      <c r="B53" s="104"/>
      <c r="C53" s="153"/>
      <c r="D53" s="153"/>
      <c r="E53" s="153"/>
    </row>
    <row r="54" spans="1:5">
      <c r="A54" s="159">
        <f>inputPrYr!B40</f>
        <v>0</v>
      </c>
      <c r="B54" s="104"/>
      <c r="C54" s="153"/>
      <c r="D54" s="153"/>
      <c r="E54" s="153"/>
    </row>
    <row r="55" spans="1:5">
      <c r="A55" s="725" t="str">
        <f>inputPrYr!B43</f>
        <v>Community Corrections (12)</v>
      </c>
      <c r="B55" s="104">
        <v>368654</v>
      </c>
      <c r="C55" s="153"/>
      <c r="D55" s="153"/>
      <c r="E55" s="153"/>
    </row>
    <row r="56" spans="1:5">
      <c r="A56" s="725" t="str">
        <f>inputPrYr!B44</f>
        <v>Cert Grant (13)</v>
      </c>
      <c r="B56" s="104">
        <v>3029</v>
      </c>
      <c r="C56" s="153"/>
      <c r="D56" s="153"/>
      <c r="E56" s="153"/>
    </row>
    <row r="57" spans="1:5">
      <c r="A57" s="725" t="str">
        <f>inputPrYr!B45</f>
        <v>Court Trustee (14)</v>
      </c>
      <c r="B57" s="104">
        <v>60000</v>
      </c>
      <c r="C57" s="153"/>
      <c r="D57" s="153"/>
      <c r="E57" s="153"/>
    </row>
    <row r="58" spans="1:5">
      <c r="A58" s="725" t="str">
        <f>inputPrYr!B46</f>
        <v>JV Community Initiative Grant (15)</v>
      </c>
      <c r="B58" s="104">
        <v>434932</v>
      </c>
      <c r="C58" s="153"/>
      <c r="D58" s="153"/>
      <c r="E58" s="153"/>
    </row>
    <row r="59" spans="1:5">
      <c r="A59" s="725" t="str">
        <f>inputPrYr!B47</f>
        <v>Surveillance Program (16)</v>
      </c>
      <c r="B59" s="104">
        <v>0</v>
      </c>
      <c r="C59" s="153"/>
      <c r="D59" s="153"/>
      <c r="E59" s="153"/>
    </row>
    <row r="60" spans="1:5">
      <c r="A60" s="725" t="str">
        <f>inputPrYr!B48</f>
        <v>Citizen Review Board (18)</v>
      </c>
      <c r="B60" s="104">
        <v>16500</v>
      </c>
      <c r="C60" s="153"/>
      <c r="D60" s="153"/>
      <c r="E60" s="153"/>
    </row>
    <row r="61" spans="1:5">
      <c r="A61" s="725" t="str">
        <f>inputPrYr!B49</f>
        <v>911 Service Fund (19)</v>
      </c>
      <c r="B61" s="104">
        <v>40200</v>
      </c>
      <c r="C61" s="153"/>
      <c r="D61" s="153"/>
      <c r="E61" s="153"/>
    </row>
    <row r="62" spans="1:5">
      <c r="A62" s="725" t="str">
        <f>inputPrYr!B50</f>
        <v>Register of Deeds Technology (36)</v>
      </c>
      <c r="B62" s="104">
        <v>50000</v>
      </c>
      <c r="C62" s="153"/>
      <c r="D62" s="153"/>
      <c r="E62" s="153"/>
    </row>
    <row r="63" spans="1:5">
      <c r="A63" s="725" t="str">
        <f>inputPrYr!B51</f>
        <v>County Auto-Vehicle Dept (37)</v>
      </c>
      <c r="B63" s="104">
        <v>248178</v>
      </c>
      <c r="C63" s="153"/>
      <c r="D63" s="153"/>
      <c r="E63" s="153"/>
    </row>
    <row r="64" spans="1:5">
      <c r="A64" s="725" t="str">
        <f>inputPrYr!B52</f>
        <v>Prosecutor Training (38)</v>
      </c>
      <c r="B64" s="104">
        <v>6000</v>
      </c>
      <c r="C64" s="153"/>
      <c r="D64" s="153"/>
      <c r="E64" s="153"/>
    </row>
    <row r="65" spans="1:5">
      <c r="A65" s="732" t="str">
        <f>inputPrYr!B53</f>
        <v>Courthouse Bond &amp; Interest (44)</v>
      </c>
      <c r="B65" s="104">
        <v>0</v>
      </c>
      <c r="C65" s="153"/>
      <c r="D65" s="153"/>
      <c r="E65" s="153"/>
    </row>
    <row r="66" spans="1:5">
      <c r="A66" s="725" t="str">
        <f>inputPrYr!B54</f>
        <v>Sales Tax Revenue (46)</v>
      </c>
      <c r="B66" s="104">
        <v>0</v>
      </c>
      <c r="C66" s="153"/>
      <c r="D66" s="153"/>
      <c r="E66" s="153"/>
    </row>
    <row r="67" spans="1:5">
      <c r="A67" s="725" t="str">
        <f>inputPrYr!B55</f>
        <v>New Courthouse (47)</v>
      </c>
      <c r="B67" s="104">
        <v>0</v>
      </c>
      <c r="C67" s="153"/>
      <c r="D67" s="153"/>
      <c r="E67" s="153"/>
    </row>
    <row r="68" spans="1:5">
      <c r="A68" s="725" t="str">
        <f>inputPrYr!B56</f>
        <v>Courthouse Sales Tax Surplus (52)</v>
      </c>
      <c r="B68" s="104">
        <v>0</v>
      </c>
      <c r="C68" s="153"/>
      <c r="D68" s="153"/>
      <c r="E68" s="153"/>
    </row>
    <row r="69" spans="1:5">
      <c r="A69" s="725" t="str">
        <f>inputPrYr!B57</f>
        <v>Special Alcohol Fund (54)</v>
      </c>
      <c r="B69" s="104">
        <v>15000</v>
      </c>
      <c r="C69" s="153"/>
      <c r="D69" s="153"/>
      <c r="E69" s="153"/>
    </row>
    <row r="70" spans="1:5">
      <c r="A70" s="725" t="str">
        <f>inputPrYr!B58</f>
        <v>Special Parks &amp; Rec (55)</v>
      </c>
      <c r="B70" s="104">
        <v>4533</v>
      </c>
      <c r="C70" s="153"/>
      <c r="D70" s="153"/>
      <c r="E70" s="153"/>
    </row>
  </sheetData>
  <mergeCells count="4">
    <mergeCell ref="A3:E3"/>
    <mergeCell ref="A26:B26"/>
    <mergeCell ref="B27:B29"/>
    <mergeCell ref="C27:E27"/>
  </mergeCells>
  <phoneticPr fontId="8" type="noConversion"/>
  <pageMargins left="0.34" right="0.24" top="0.54" bottom="0.59" header="0.36" footer="0.5"/>
  <pageSetup orientation="portrait" r:id="rId1"/>
  <headerFooter alignWithMargins="0"/>
</worksheet>
</file>

<file path=xl/worksheets/sheet30.xml><?xml version="1.0" encoding="utf-8"?>
<worksheet xmlns="http://schemas.openxmlformats.org/spreadsheetml/2006/main" xmlns:r="http://schemas.openxmlformats.org/officeDocument/2006/relationships">
  <sheetPr codeName="Sheet25">
    <pageSetUpPr fitToPage="1"/>
  </sheetPr>
  <dimension ref="B1:E66"/>
  <sheetViews>
    <sheetView topLeftCell="A40" workbookViewId="0">
      <selection activeCell="E55" sqref="E55"/>
    </sheetView>
  </sheetViews>
  <sheetFormatPr defaultRowHeight="15.75"/>
  <cols>
    <col min="1" max="1" width="2.44140625" style="71" customWidth="1"/>
    <col min="2" max="2" width="31.109375" style="71" customWidth="1"/>
    <col min="3" max="4" width="15.77734375" style="71" customWidth="1"/>
    <col min="5" max="5" width="16.109375" style="71" customWidth="1"/>
    <col min="6" max="16384" width="8.88671875" style="71"/>
  </cols>
  <sheetData>
    <row r="1" spans="2:5">
      <c r="B1" s="226" t="str">
        <f>(inputPrYr!C2)</f>
        <v>Lyon County</v>
      </c>
      <c r="C1" s="84"/>
      <c r="D1" s="84"/>
      <c r="E1" s="284">
        <f>inputPrYr!C4</f>
        <v>2014</v>
      </c>
    </row>
    <row r="2" spans="2:5">
      <c r="B2" s="84"/>
      <c r="C2" s="84"/>
      <c r="D2" s="84"/>
      <c r="E2" s="238"/>
    </row>
    <row r="3" spans="2:5">
      <c r="B3" s="151" t="s">
        <v>237</v>
      </c>
      <c r="C3" s="331"/>
      <c r="D3" s="331"/>
      <c r="E3" s="332"/>
    </row>
    <row r="4" spans="2:5">
      <c r="B4" s="84"/>
      <c r="C4" s="325"/>
      <c r="D4" s="325"/>
      <c r="E4" s="325"/>
    </row>
    <row r="5" spans="2:5">
      <c r="B5" s="83" t="s">
        <v>159</v>
      </c>
      <c r="C5" s="321" t="str">
        <f>general!C4</f>
        <v xml:space="preserve">Prior Year </v>
      </c>
      <c r="D5" s="214" t="str">
        <f>general!D4</f>
        <v xml:space="preserve">Current Year </v>
      </c>
      <c r="E5" s="214" t="str">
        <f>general!E4</f>
        <v xml:space="preserve">Proposed Budget </v>
      </c>
    </row>
    <row r="6" spans="2:5">
      <c r="B6" s="482" t="str">
        <f>inputPrYr!B45</f>
        <v>Court Trustee (14)</v>
      </c>
      <c r="C6" s="313" t="str">
        <f>general!C5</f>
        <v>Actual for 2012</v>
      </c>
      <c r="D6" s="313" t="str">
        <f>general!D5</f>
        <v>Estimate for 2013</v>
      </c>
      <c r="E6" s="300" t="str">
        <f>general!E5</f>
        <v>Year for 2014</v>
      </c>
    </row>
    <row r="7" spans="2:5">
      <c r="B7" s="147" t="s">
        <v>278</v>
      </c>
      <c r="C7" s="111">
        <v>20062</v>
      </c>
      <c r="D7" s="263">
        <f>C30</f>
        <v>12312</v>
      </c>
      <c r="E7" s="263">
        <f>D30</f>
        <v>10344</v>
      </c>
    </row>
    <row r="8" spans="2:5">
      <c r="B8" s="334" t="s">
        <v>280</v>
      </c>
      <c r="C8" s="107"/>
      <c r="D8" s="107"/>
      <c r="E8" s="107"/>
    </row>
    <row r="9" spans="2:5">
      <c r="B9" s="316" t="s">
        <v>1092</v>
      </c>
      <c r="C9" s="111">
        <v>8085</v>
      </c>
      <c r="D9" s="111">
        <v>2300</v>
      </c>
      <c r="E9" s="111">
        <v>8000</v>
      </c>
    </row>
    <row r="10" spans="2:5">
      <c r="B10" s="316" t="s">
        <v>996</v>
      </c>
      <c r="C10" s="111">
        <v>65274</v>
      </c>
      <c r="D10" s="111">
        <v>75000</v>
      </c>
      <c r="E10" s="111">
        <v>60000</v>
      </c>
    </row>
    <row r="11" spans="2:5">
      <c r="B11" s="316"/>
      <c r="C11" s="111"/>
      <c r="D11" s="111"/>
      <c r="E11" s="111"/>
    </row>
    <row r="12" spans="2:5">
      <c r="B12" s="306" t="s">
        <v>167</v>
      </c>
      <c r="C12" s="111"/>
      <c r="D12" s="111"/>
      <c r="E12" s="111"/>
    </row>
    <row r="13" spans="2:5">
      <c r="B13" s="307" t="s">
        <v>75</v>
      </c>
      <c r="C13" s="111"/>
      <c r="D13" s="302"/>
      <c r="E13" s="302"/>
    </row>
    <row r="14" spans="2:5">
      <c r="B14" s="307" t="s">
        <v>682</v>
      </c>
      <c r="C14" s="478" t="str">
        <f>IF(C15*0.1&lt;C13,"Exceed 10% Rule","")</f>
        <v/>
      </c>
      <c r="D14" s="308" t="str">
        <f>IF(D15*0.1&lt;D13,"Exceed 10% Rule","")</f>
        <v/>
      </c>
      <c r="E14" s="308" t="str">
        <f>IF(E15*0.1&lt;E13,"Exceed 10% Rule","")</f>
        <v/>
      </c>
    </row>
    <row r="15" spans="2:5">
      <c r="B15" s="309" t="s">
        <v>168</v>
      </c>
      <c r="C15" s="350">
        <f>SUM(C9:C13)</f>
        <v>73359</v>
      </c>
      <c r="D15" s="350">
        <f>SUM(D9:D13)</f>
        <v>77300</v>
      </c>
      <c r="E15" s="350">
        <f>SUM(E9:E13)</f>
        <v>68000</v>
      </c>
    </row>
    <row r="16" spans="2:5">
      <c r="B16" s="309" t="s">
        <v>169</v>
      </c>
      <c r="C16" s="350">
        <f>C15+C7</f>
        <v>93421</v>
      </c>
      <c r="D16" s="350">
        <f>D15+D7</f>
        <v>89612</v>
      </c>
      <c r="E16" s="350">
        <f>E15+E7</f>
        <v>78344</v>
      </c>
    </row>
    <row r="17" spans="2:5">
      <c r="B17" s="147" t="s">
        <v>172</v>
      </c>
      <c r="C17" s="263"/>
      <c r="D17" s="263"/>
      <c r="E17" s="263"/>
    </row>
    <row r="18" spans="2:5">
      <c r="B18" s="316" t="s">
        <v>985</v>
      </c>
      <c r="C18" s="111">
        <v>79863</v>
      </c>
      <c r="D18" s="111">
        <v>77818</v>
      </c>
      <c r="E18" s="111">
        <v>54578</v>
      </c>
    </row>
    <row r="19" spans="2:5">
      <c r="B19" s="316" t="s">
        <v>973</v>
      </c>
      <c r="C19" s="111">
        <v>942</v>
      </c>
      <c r="D19" s="111">
        <v>1000</v>
      </c>
      <c r="E19" s="111">
        <v>6000</v>
      </c>
    </row>
    <row r="20" spans="2:5">
      <c r="B20" s="316" t="s">
        <v>974</v>
      </c>
      <c r="C20" s="111">
        <v>304</v>
      </c>
      <c r="D20" s="111">
        <v>450</v>
      </c>
      <c r="E20" s="111">
        <v>2000</v>
      </c>
    </row>
    <row r="21" spans="2:5">
      <c r="B21" s="316"/>
      <c r="C21" s="111"/>
      <c r="D21" s="111"/>
      <c r="E21" s="111"/>
    </row>
    <row r="22" spans="2:5">
      <c r="B22" s="316"/>
      <c r="C22" s="111"/>
      <c r="D22" s="111"/>
      <c r="E22" s="111"/>
    </row>
    <row r="23" spans="2:5">
      <c r="B23" s="316"/>
      <c r="C23" s="111"/>
      <c r="D23" s="111"/>
      <c r="E23" s="111"/>
    </row>
    <row r="24" spans="2:5">
      <c r="B24" s="316"/>
      <c r="C24" s="111"/>
      <c r="D24" s="111"/>
      <c r="E24" s="111"/>
    </row>
    <row r="25" spans="2:5">
      <c r="B25" s="316"/>
      <c r="C25" s="111"/>
      <c r="D25" s="111"/>
      <c r="E25" s="111"/>
    </row>
    <row r="26" spans="2:5">
      <c r="B26" s="316"/>
      <c r="C26" s="111"/>
      <c r="D26" s="111"/>
      <c r="E26" s="111"/>
    </row>
    <row r="27" spans="2:5">
      <c r="B27" s="307" t="s">
        <v>75</v>
      </c>
      <c r="C27" s="111"/>
      <c r="D27" s="302"/>
      <c r="E27" s="302"/>
    </row>
    <row r="28" spans="2:5">
      <c r="B28" s="307" t="s">
        <v>681</v>
      </c>
      <c r="C28" s="478" t="str">
        <f>IF(C29*0.1&lt;C27,"Exceed 10% Rule","")</f>
        <v/>
      </c>
      <c r="D28" s="308" t="str">
        <f>IF(D29*0.1&lt;D27,"Exceed 10% Rule","")</f>
        <v/>
      </c>
      <c r="E28" s="308" t="str">
        <f>IF(E29*0.1&lt;E27,"Exceed 10% Rule","")</f>
        <v/>
      </c>
    </row>
    <row r="29" spans="2:5">
      <c r="B29" s="309" t="s">
        <v>173</v>
      </c>
      <c r="C29" s="350">
        <f>SUM(C18:C27)</f>
        <v>81109</v>
      </c>
      <c r="D29" s="350">
        <f>SUM(D18:D27)</f>
        <v>79268</v>
      </c>
      <c r="E29" s="350">
        <f>SUM(E18:E27)</f>
        <v>62578</v>
      </c>
    </row>
    <row r="30" spans="2:5">
      <c r="B30" s="147" t="s">
        <v>279</v>
      </c>
      <c r="C30" s="119">
        <f>C16-C29</f>
        <v>12312</v>
      </c>
      <c r="D30" s="119">
        <f>D16-D29</f>
        <v>10344</v>
      </c>
      <c r="E30" s="119">
        <f>E16-E29</f>
        <v>15766</v>
      </c>
    </row>
    <row r="31" spans="2:5">
      <c r="B31" s="285" t="str">
        <f>CONCATENATE("",E$1-2,"/",E$1-1," Budget Authority Amount:")</f>
        <v>2012/2013 Budget Authority Amount:</v>
      </c>
      <c r="C31" s="277">
        <f>inputOth!B57</f>
        <v>60000</v>
      </c>
      <c r="D31" s="277">
        <f>inputPrYr!D45</f>
        <v>60000</v>
      </c>
      <c r="E31" s="477" t="str">
        <f>IF(E30&lt;0,"See Tab E","")</f>
        <v/>
      </c>
    </row>
    <row r="32" spans="2:5">
      <c r="B32" s="285"/>
      <c r="C32" s="319" t="str">
        <f>IF(C29&gt;C31,"See Tab A","")</f>
        <v>See Tab A</v>
      </c>
      <c r="D32" s="319" t="str">
        <f>IF(D29&gt;D31,"See Tab C","")</f>
        <v>See Tab C</v>
      </c>
      <c r="E32" s="144"/>
    </row>
    <row r="33" spans="2:5">
      <c r="B33" s="285"/>
      <c r="C33" s="319" t="str">
        <f>IF(C30&lt;0,"See Tab B","")</f>
        <v/>
      </c>
      <c r="D33" s="319" t="str">
        <f>IF(D30&lt;0,"See Tab D","")</f>
        <v/>
      </c>
      <c r="E33" s="144"/>
    </row>
    <row r="34" spans="2:5">
      <c r="B34" s="84"/>
      <c r="C34" s="144"/>
      <c r="D34" s="144"/>
      <c r="E34" s="144"/>
    </row>
    <row r="35" spans="2:5">
      <c r="B35" s="83" t="s">
        <v>159</v>
      </c>
      <c r="C35" s="325"/>
      <c r="D35" s="325"/>
      <c r="E35" s="325"/>
    </row>
    <row r="36" spans="2:5">
      <c r="B36" s="84"/>
      <c r="C36" s="321" t="str">
        <f t="shared" ref="C36:E37" si="0">C5</f>
        <v xml:space="preserve">Prior Year </v>
      </c>
      <c r="D36" s="214" t="str">
        <f t="shared" si="0"/>
        <v xml:space="preserve">Current Year </v>
      </c>
      <c r="E36" s="214" t="str">
        <f t="shared" si="0"/>
        <v xml:space="preserve">Proposed Budget </v>
      </c>
    </row>
    <row r="37" spans="2:5">
      <c r="B37" s="481" t="str">
        <f>inputPrYr!B46</f>
        <v>JV Community Initiative Grant (15)</v>
      </c>
      <c r="C37" s="313" t="str">
        <f t="shared" si="0"/>
        <v>Actual for 2012</v>
      </c>
      <c r="D37" s="313" t="str">
        <f t="shared" si="0"/>
        <v>Estimate for 2013</v>
      </c>
      <c r="E37" s="313" t="str">
        <f t="shared" si="0"/>
        <v>Year for 2014</v>
      </c>
    </row>
    <row r="38" spans="2:5">
      <c r="B38" s="147" t="s">
        <v>278</v>
      </c>
      <c r="C38" s="111">
        <v>43198</v>
      </c>
      <c r="D38" s="263">
        <f>C61</f>
        <v>49100</v>
      </c>
      <c r="E38" s="263">
        <f>D61</f>
        <v>81107</v>
      </c>
    </row>
    <row r="39" spans="2:5">
      <c r="B39" s="147" t="s">
        <v>280</v>
      </c>
      <c r="C39" s="107"/>
      <c r="D39" s="107"/>
      <c r="E39" s="107"/>
    </row>
    <row r="40" spans="2:5">
      <c r="B40" s="316" t="s">
        <v>987</v>
      </c>
      <c r="C40" s="111">
        <f>190+160</f>
        <v>350</v>
      </c>
      <c r="D40" s="111">
        <v>106</v>
      </c>
      <c r="E40" s="111"/>
    </row>
    <row r="41" spans="2:5">
      <c r="B41" s="316" t="s">
        <v>997</v>
      </c>
      <c r="C41" s="111">
        <v>446586</v>
      </c>
      <c r="D41" s="111">
        <v>430000</v>
      </c>
      <c r="E41" s="111">
        <v>434932</v>
      </c>
    </row>
    <row r="42" spans="2:5">
      <c r="B42" s="316" t="s">
        <v>1069</v>
      </c>
      <c r="C42" s="111"/>
      <c r="D42" s="111"/>
      <c r="E42" s="111"/>
    </row>
    <row r="43" spans="2:5">
      <c r="B43" s="306" t="s">
        <v>167</v>
      </c>
      <c r="C43" s="111"/>
      <c r="D43" s="111"/>
      <c r="E43" s="111"/>
    </row>
    <row r="44" spans="2:5">
      <c r="B44" s="307" t="s">
        <v>75</v>
      </c>
      <c r="C44" s="111"/>
      <c r="D44" s="302"/>
      <c r="E44" s="302"/>
    </row>
    <row r="45" spans="2:5">
      <c r="B45" s="307" t="s">
        <v>682</v>
      </c>
      <c r="C45" s="478" t="str">
        <f>IF(C46*0.1&lt;C44,"Exceed 10% Rule","")</f>
        <v/>
      </c>
      <c r="D45" s="308" t="str">
        <f>IF(D46*0.1&lt;D44,"Exceed 10% Rule","")</f>
        <v/>
      </c>
      <c r="E45" s="308" t="str">
        <f>IF(E46*0.1&lt;E44,"Exceed 10% Rule","")</f>
        <v/>
      </c>
    </row>
    <row r="46" spans="2:5">
      <c r="B46" s="309" t="s">
        <v>168</v>
      </c>
      <c r="C46" s="350">
        <f>SUM(C40:C44)</f>
        <v>446936</v>
      </c>
      <c r="D46" s="350">
        <f>SUM(D40:D44)</f>
        <v>430106</v>
      </c>
      <c r="E46" s="350">
        <f>SUM(E40:E44)</f>
        <v>434932</v>
      </c>
    </row>
    <row r="47" spans="2:5">
      <c r="B47" s="309" t="s">
        <v>169</v>
      </c>
      <c r="C47" s="350">
        <f>C38+C46</f>
        <v>490134</v>
      </c>
      <c r="D47" s="350">
        <f>D38+D46</f>
        <v>479206</v>
      </c>
      <c r="E47" s="350">
        <f>E38+E46</f>
        <v>516039</v>
      </c>
    </row>
    <row r="48" spans="2:5">
      <c r="B48" s="147" t="s">
        <v>172</v>
      </c>
      <c r="C48" s="263"/>
      <c r="D48" s="263"/>
      <c r="E48" s="263"/>
    </row>
    <row r="49" spans="2:5">
      <c r="B49" s="316" t="s">
        <v>998</v>
      </c>
      <c r="C49" s="111"/>
      <c r="D49" s="111"/>
      <c r="E49" s="111"/>
    </row>
    <row r="50" spans="2:5">
      <c r="B50" s="316" t="s">
        <v>999</v>
      </c>
      <c r="C50" s="111">
        <f>39913+33539</f>
        <v>73452</v>
      </c>
      <c r="D50" s="111">
        <v>78000</v>
      </c>
      <c r="E50" s="111">
        <f>38982+38981</f>
        <v>77963</v>
      </c>
    </row>
    <row r="51" spans="2:5">
      <c r="B51" s="316" t="s">
        <v>1000</v>
      </c>
      <c r="C51" s="111">
        <f>55419+65794</f>
        <v>121213</v>
      </c>
      <c r="D51" s="111">
        <v>140000</v>
      </c>
      <c r="E51" s="111">
        <f>69972+69972</f>
        <v>139944</v>
      </c>
    </row>
    <row r="52" spans="2:5">
      <c r="B52" s="316" t="s">
        <v>1001</v>
      </c>
      <c r="C52" s="111">
        <f>61861+51919</f>
        <v>113780</v>
      </c>
      <c r="D52" s="111">
        <v>110000</v>
      </c>
      <c r="E52" s="111">
        <f>53389+53388</f>
        <v>106777</v>
      </c>
    </row>
    <row r="53" spans="2:5">
      <c r="B53" s="316" t="s">
        <v>1070</v>
      </c>
      <c r="C53" s="111">
        <v>35107</v>
      </c>
      <c r="D53" s="111">
        <v>16099</v>
      </c>
      <c r="E53" s="111">
        <v>0</v>
      </c>
    </row>
    <row r="54" spans="2:5">
      <c r="B54" s="316" t="s">
        <v>1103</v>
      </c>
      <c r="C54" s="111">
        <v>83926</v>
      </c>
      <c r="D54" s="111">
        <v>45000</v>
      </c>
      <c r="E54" s="111">
        <v>64835</v>
      </c>
    </row>
    <row r="55" spans="2:5">
      <c r="B55" s="316" t="s">
        <v>974</v>
      </c>
      <c r="C55" s="111">
        <v>8278</v>
      </c>
      <c r="D55" s="111">
        <v>9000</v>
      </c>
      <c r="E55" s="111">
        <v>9050</v>
      </c>
    </row>
    <row r="56" spans="2:5">
      <c r="B56" s="316"/>
      <c r="C56" s="111">
        <v>0</v>
      </c>
      <c r="D56" s="111"/>
      <c r="E56" s="111"/>
    </row>
    <row r="57" spans="2:5">
      <c r="B57" s="316"/>
      <c r="C57" s="111"/>
      <c r="D57" s="111"/>
      <c r="E57" s="111"/>
    </row>
    <row r="58" spans="2:5">
      <c r="B58" s="307" t="s">
        <v>75</v>
      </c>
      <c r="C58" s="111">
        <v>5278</v>
      </c>
      <c r="D58" s="302"/>
      <c r="E58" s="302"/>
    </row>
    <row r="59" spans="2:5">
      <c r="B59" s="307" t="s">
        <v>681</v>
      </c>
      <c r="C59" s="478" t="str">
        <f>IF(C60*0.1&lt;C58,"Exceed 10% Rule","")</f>
        <v/>
      </c>
      <c r="D59" s="308" t="str">
        <f>IF(D60*0.1&lt;D58,"Exceed 10% Rule","")</f>
        <v/>
      </c>
      <c r="E59" s="308" t="str">
        <f>IF(E60*0.1&lt;E58,"Exceed 10% Rule","")</f>
        <v/>
      </c>
    </row>
    <row r="60" spans="2:5">
      <c r="B60" s="309" t="s">
        <v>173</v>
      </c>
      <c r="C60" s="350">
        <f>SUM(C49:C58)</f>
        <v>441034</v>
      </c>
      <c r="D60" s="350">
        <f>SUM(D49:D58)</f>
        <v>398099</v>
      </c>
      <c r="E60" s="350">
        <f>SUM(E49:E58)</f>
        <v>398569</v>
      </c>
    </row>
    <row r="61" spans="2:5">
      <c r="B61" s="147" t="s">
        <v>279</v>
      </c>
      <c r="C61" s="119">
        <f>C47-C60</f>
        <v>49100</v>
      </c>
      <c r="D61" s="119">
        <f>D47-D60</f>
        <v>81107</v>
      </c>
      <c r="E61" s="119">
        <f>E47-E60</f>
        <v>117470</v>
      </c>
    </row>
    <row r="62" spans="2:5">
      <c r="B62" s="285" t="str">
        <f>CONCATENATE("",E$1-2,"/",E$1-1," Budget Authority Amount:")</f>
        <v>2012/2013 Budget Authority Amount:</v>
      </c>
      <c r="C62" s="277">
        <f>inputOth!B58</f>
        <v>434932</v>
      </c>
      <c r="D62" s="277">
        <f>inputPrYr!D46</f>
        <v>434932</v>
      </c>
      <c r="E62" s="476" t="str">
        <f>IF(E61&lt;0,"See Tab E","")</f>
        <v/>
      </c>
    </row>
    <row r="63" spans="2:5">
      <c r="B63" s="285"/>
      <c r="C63" s="319" t="str">
        <f>IF(C60&gt;C62,"See Tab A","")</f>
        <v>See Tab A</v>
      </c>
      <c r="D63" s="319" t="str">
        <f>IF(D60&gt;D62,"See Tab C","")</f>
        <v/>
      </c>
      <c r="E63" s="84"/>
    </row>
    <row r="64" spans="2:5">
      <c r="B64" s="285"/>
      <c r="C64" s="319" t="str">
        <f>IF(C61&lt;0,"See Tab B","")</f>
        <v/>
      </c>
      <c r="D64" s="319" t="str">
        <f>IF(D61&lt;0,"See Tab D","")</f>
        <v/>
      </c>
      <c r="E64" s="84"/>
    </row>
    <row r="65" spans="2:5">
      <c r="B65" s="84"/>
      <c r="C65" s="84"/>
      <c r="D65" s="84"/>
      <c r="E65" s="84"/>
    </row>
    <row r="66" spans="2:5">
      <c r="B66" s="285" t="s">
        <v>188</v>
      </c>
      <c r="C66" s="347">
        <v>17</v>
      </c>
      <c r="D66" s="84"/>
      <c r="E66" s="84"/>
    </row>
  </sheetData>
  <sheetProtection sheet="1"/>
  <phoneticPr fontId="0" type="noConversion"/>
  <conditionalFormatting sqref="C27">
    <cfRule type="cellIs" dxfId="131" priority="3" stopIfTrue="1" operator="greaterThan">
      <formula>$C$29*0.1</formula>
    </cfRule>
  </conditionalFormatting>
  <conditionalFormatting sqref="D27">
    <cfRule type="cellIs" dxfId="130" priority="4" stopIfTrue="1" operator="greaterThan">
      <formula>$D$29*0.1</formula>
    </cfRule>
  </conditionalFormatting>
  <conditionalFormatting sqref="E27">
    <cfRule type="cellIs" dxfId="129" priority="5" stopIfTrue="1" operator="greaterThan">
      <formula>$E$29*0.1</formula>
    </cfRule>
  </conditionalFormatting>
  <conditionalFormatting sqref="C13">
    <cfRule type="cellIs" dxfId="128" priority="6" stopIfTrue="1" operator="greaterThan">
      <formula>$C$15*0.1</formula>
    </cfRule>
  </conditionalFormatting>
  <conditionalFormatting sqref="D13">
    <cfRule type="cellIs" dxfId="127" priority="7" stopIfTrue="1" operator="greaterThan">
      <formula>$D$15*0.1</formula>
    </cfRule>
  </conditionalFormatting>
  <conditionalFormatting sqref="E13">
    <cfRule type="cellIs" dxfId="126" priority="8" stopIfTrue="1" operator="greaterThan">
      <formula>$E$15*0.1</formula>
    </cfRule>
  </conditionalFormatting>
  <conditionalFormatting sqref="C44">
    <cfRule type="cellIs" dxfId="125" priority="9" stopIfTrue="1" operator="greaterThan">
      <formula>$C$46*0.1</formula>
    </cfRule>
  </conditionalFormatting>
  <conditionalFormatting sqref="D44">
    <cfRule type="cellIs" dxfId="124" priority="10" stopIfTrue="1" operator="greaterThan">
      <formula>$D$46*0.1</formula>
    </cfRule>
  </conditionalFormatting>
  <conditionalFormatting sqref="E44">
    <cfRule type="cellIs" dxfId="123" priority="11" stopIfTrue="1" operator="greaterThan">
      <formula>$E$46*0.1</formula>
    </cfRule>
  </conditionalFormatting>
  <conditionalFormatting sqref="C58">
    <cfRule type="cellIs" dxfId="122" priority="12" stopIfTrue="1" operator="greaterThan">
      <formula>$C$60*0.1</formula>
    </cfRule>
  </conditionalFormatting>
  <conditionalFormatting sqref="D58">
    <cfRule type="cellIs" dxfId="121" priority="13" stopIfTrue="1" operator="greaterThan">
      <formula>$D$60*0.1</formula>
    </cfRule>
  </conditionalFormatting>
  <conditionalFormatting sqref="E58">
    <cfRule type="cellIs" dxfId="120" priority="14" stopIfTrue="1" operator="greaterThan">
      <formula>$E$60*0.1</formula>
    </cfRule>
  </conditionalFormatting>
  <conditionalFormatting sqref="E30 C30 E61 C61">
    <cfRule type="cellIs" dxfId="119" priority="15" stopIfTrue="1" operator="lessThan">
      <formula>0</formula>
    </cfRule>
  </conditionalFormatting>
  <conditionalFormatting sqref="D29">
    <cfRule type="cellIs" dxfId="118" priority="16" stopIfTrue="1" operator="greaterThan">
      <formula>$D$31</formula>
    </cfRule>
  </conditionalFormatting>
  <conditionalFormatting sqref="C29">
    <cfRule type="cellIs" dxfId="117" priority="17" stopIfTrue="1" operator="greaterThan">
      <formula>$C$31</formula>
    </cfRule>
  </conditionalFormatting>
  <conditionalFormatting sqref="D60">
    <cfRule type="cellIs" dxfId="116" priority="18" stopIfTrue="1" operator="greaterThan">
      <formula>$D$62</formula>
    </cfRule>
  </conditionalFormatting>
  <conditionalFormatting sqref="C60">
    <cfRule type="cellIs" dxfId="115" priority="19" stopIfTrue="1" operator="greaterThan">
      <formula>$C$62</formula>
    </cfRule>
  </conditionalFormatting>
  <conditionalFormatting sqref="D30">
    <cfRule type="cellIs" dxfId="114" priority="2" stopIfTrue="1" operator="lessThan">
      <formula>0</formula>
    </cfRule>
  </conditionalFormatting>
  <conditionalFormatting sqref="D61">
    <cfRule type="cellIs" dxfId="113" priority="1" stopIfTrue="1" operator="lessThan">
      <formula>0</formula>
    </cfRule>
  </conditionalFormatting>
  <pageMargins left="1.1200000000000001" right="0.5" top="0.74" bottom="0.34" header="0.5" footer="0"/>
  <pageSetup scale="70" orientation="portrait" blackAndWhite="1" horizontalDpi="120" verticalDpi="144" r:id="rId1"/>
  <headerFooter alignWithMargins="0">
    <oddHeader xml:space="preserve">&amp;RState of Kansas
County
</oddHeader>
  </headerFooter>
</worksheet>
</file>

<file path=xl/worksheets/sheet31.xml><?xml version="1.0" encoding="utf-8"?>
<worksheet xmlns="http://schemas.openxmlformats.org/spreadsheetml/2006/main" xmlns:r="http://schemas.openxmlformats.org/officeDocument/2006/relationships">
  <sheetPr codeName="Sheet26">
    <pageSetUpPr fitToPage="1"/>
  </sheetPr>
  <dimension ref="B1:E66"/>
  <sheetViews>
    <sheetView workbookViewId="0">
      <selection activeCell="D18" sqref="D18"/>
    </sheetView>
  </sheetViews>
  <sheetFormatPr defaultRowHeight="15.75"/>
  <cols>
    <col min="1" max="1" width="2.44140625" style="71" customWidth="1"/>
    <col min="2" max="2" width="31.109375" style="71" customWidth="1"/>
    <col min="3" max="4" width="15.77734375" style="71" customWidth="1"/>
    <col min="5" max="5" width="16.21875" style="71" customWidth="1"/>
    <col min="6" max="16384" width="8.88671875" style="71"/>
  </cols>
  <sheetData>
    <row r="1" spans="2:5">
      <c r="B1" s="226" t="str">
        <f>(inputPrYr!C2)</f>
        <v>Lyon County</v>
      </c>
      <c r="C1" s="84"/>
      <c r="D1" s="84"/>
      <c r="E1" s="284">
        <f>inputPrYr!C4</f>
        <v>2014</v>
      </c>
    </row>
    <row r="2" spans="2:5">
      <c r="B2" s="84"/>
      <c r="C2" s="84"/>
      <c r="D2" s="84"/>
      <c r="E2" s="238"/>
    </row>
    <row r="3" spans="2:5">
      <c r="B3" s="151" t="s">
        <v>237</v>
      </c>
      <c r="C3" s="331"/>
      <c r="D3" s="331"/>
      <c r="E3" s="332"/>
    </row>
    <row r="4" spans="2:5">
      <c r="B4" s="84"/>
      <c r="C4" s="325"/>
      <c r="D4" s="325"/>
      <c r="E4" s="325"/>
    </row>
    <row r="5" spans="2:5">
      <c r="B5" s="83" t="s">
        <v>159</v>
      </c>
      <c r="C5" s="321" t="str">
        <f>general!C4</f>
        <v xml:space="preserve">Prior Year </v>
      </c>
      <c r="D5" s="214" t="str">
        <f>general!D4</f>
        <v xml:space="preserve">Current Year </v>
      </c>
      <c r="E5" s="214" t="str">
        <f>general!E4</f>
        <v xml:space="preserve">Proposed Budget </v>
      </c>
    </row>
    <row r="6" spans="2:5">
      <c r="B6" s="482" t="str">
        <f>inputPrYr!B47</f>
        <v>Surveillance Program (16)</v>
      </c>
      <c r="C6" s="313" t="str">
        <f>general!C5</f>
        <v>Actual for 2012</v>
      </c>
      <c r="D6" s="313" t="str">
        <f>general!D5</f>
        <v>Estimate for 2013</v>
      </c>
      <c r="E6" s="300" t="str">
        <f>general!E5</f>
        <v>Year for 2014</v>
      </c>
    </row>
    <row r="7" spans="2:5">
      <c r="B7" s="147" t="s">
        <v>278</v>
      </c>
      <c r="C7" s="111">
        <v>7499</v>
      </c>
      <c r="D7" s="263">
        <f>C30</f>
        <v>4865</v>
      </c>
      <c r="E7" s="263">
        <f>D30</f>
        <v>6865</v>
      </c>
    </row>
    <row r="8" spans="2:5">
      <c r="B8" s="334" t="s">
        <v>280</v>
      </c>
      <c r="C8" s="107"/>
      <c r="D8" s="107"/>
      <c r="E8" s="107"/>
    </row>
    <row r="9" spans="2:5">
      <c r="B9" s="316" t="s">
        <v>1093</v>
      </c>
      <c r="C9" s="111">
        <v>16000</v>
      </c>
      <c r="D9" s="111">
        <v>24000</v>
      </c>
      <c r="E9" s="111">
        <v>24000</v>
      </c>
    </row>
    <row r="10" spans="2:5">
      <c r="B10" s="316" t="s">
        <v>978</v>
      </c>
      <c r="C10" s="111">
        <v>0</v>
      </c>
      <c r="D10" s="111"/>
      <c r="E10" s="111"/>
    </row>
    <row r="11" spans="2:5">
      <c r="B11" s="316"/>
      <c r="C11" s="111"/>
      <c r="D11" s="111"/>
      <c r="E11" s="111"/>
    </row>
    <row r="12" spans="2:5">
      <c r="B12" s="306" t="s">
        <v>167</v>
      </c>
      <c r="C12" s="111"/>
      <c r="D12" s="111"/>
      <c r="E12" s="111"/>
    </row>
    <row r="13" spans="2:5">
      <c r="B13" s="307" t="s">
        <v>75</v>
      </c>
      <c r="C13" s="111"/>
      <c r="D13" s="302"/>
      <c r="E13" s="302"/>
    </row>
    <row r="14" spans="2:5">
      <c r="B14" s="307" t="s">
        <v>682</v>
      </c>
      <c r="C14" s="478" t="str">
        <f>IF(C15*0.1&lt;C13,"Exceed 10% Rule","")</f>
        <v/>
      </c>
      <c r="D14" s="308" t="str">
        <f>IF(D15*0.1&lt;D13,"Exceed 10% Rule","")</f>
        <v/>
      </c>
      <c r="E14" s="308" t="str">
        <f>IF(E15*0.1&lt;E13,"Exceed 10% Rule","")</f>
        <v/>
      </c>
    </row>
    <row r="15" spans="2:5">
      <c r="B15" s="309" t="s">
        <v>168</v>
      </c>
      <c r="C15" s="350">
        <f>SUM(C9:C13)</f>
        <v>16000</v>
      </c>
      <c r="D15" s="350">
        <f>SUM(D9:D13)</f>
        <v>24000</v>
      </c>
      <c r="E15" s="350">
        <f>SUM(E9:E13)</f>
        <v>24000</v>
      </c>
    </row>
    <row r="16" spans="2:5">
      <c r="B16" s="309" t="s">
        <v>169</v>
      </c>
      <c r="C16" s="350">
        <f>C15+C7</f>
        <v>23499</v>
      </c>
      <c r="D16" s="350">
        <f>D15+D7</f>
        <v>28865</v>
      </c>
      <c r="E16" s="350">
        <f>E15+E7</f>
        <v>30865</v>
      </c>
    </row>
    <row r="17" spans="2:5">
      <c r="B17" s="147" t="s">
        <v>172</v>
      </c>
      <c r="C17" s="263"/>
      <c r="D17" s="263"/>
      <c r="E17" s="263"/>
    </row>
    <row r="18" spans="2:5">
      <c r="B18" s="316" t="s">
        <v>985</v>
      </c>
      <c r="C18" s="111">
        <v>18634</v>
      </c>
      <c r="D18" s="111">
        <v>22000</v>
      </c>
      <c r="E18" s="111">
        <v>24000</v>
      </c>
    </row>
    <row r="19" spans="2:5">
      <c r="B19" s="316"/>
      <c r="C19" s="111"/>
      <c r="D19" s="111"/>
      <c r="E19" s="111"/>
    </row>
    <row r="20" spans="2:5">
      <c r="B20" s="316"/>
      <c r="C20" s="111"/>
      <c r="D20" s="111"/>
      <c r="E20" s="111"/>
    </row>
    <row r="21" spans="2:5">
      <c r="B21" s="316"/>
      <c r="C21" s="111"/>
      <c r="D21" s="111"/>
      <c r="E21" s="111"/>
    </row>
    <row r="22" spans="2:5">
      <c r="B22" s="316"/>
      <c r="C22" s="111"/>
      <c r="D22" s="111"/>
      <c r="E22" s="111"/>
    </row>
    <row r="23" spans="2:5">
      <c r="B23" s="316"/>
      <c r="C23" s="111"/>
      <c r="D23" s="111"/>
      <c r="E23" s="111"/>
    </row>
    <row r="24" spans="2:5">
      <c r="B24" s="316"/>
      <c r="C24" s="111"/>
      <c r="D24" s="111"/>
      <c r="E24" s="111"/>
    </row>
    <row r="25" spans="2:5">
      <c r="B25" s="316"/>
      <c r="C25" s="111"/>
      <c r="D25" s="111"/>
      <c r="E25" s="111"/>
    </row>
    <row r="26" spans="2:5">
      <c r="B26" s="316"/>
      <c r="C26" s="111"/>
      <c r="D26" s="111"/>
      <c r="E26" s="111"/>
    </row>
    <row r="27" spans="2:5">
      <c r="B27" s="307" t="s">
        <v>75</v>
      </c>
      <c r="C27" s="111"/>
      <c r="D27" s="302"/>
      <c r="E27" s="302"/>
    </row>
    <row r="28" spans="2:5">
      <c r="B28" s="307" t="s">
        <v>681</v>
      </c>
      <c r="C28" s="478" t="str">
        <f>IF(C29*0.1&lt;C27,"Exceed 10% Rule","")</f>
        <v/>
      </c>
      <c r="D28" s="308" t="str">
        <f>IF(D29*0.1&lt;D27,"Exceed 10% Rule","")</f>
        <v/>
      </c>
      <c r="E28" s="308" t="str">
        <f>IF(E29*0.1&lt;E27,"Exceed 10% Rule","")</f>
        <v/>
      </c>
    </row>
    <row r="29" spans="2:5">
      <c r="B29" s="309" t="s">
        <v>173</v>
      </c>
      <c r="C29" s="350">
        <f>SUM(C18:C27)</f>
        <v>18634</v>
      </c>
      <c r="D29" s="350">
        <f>SUM(D18:D27)</f>
        <v>22000</v>
      </c>
      <c r="E29" s="350">
        <f>SUM(E18:E27)</f>
        <v>24000</v>
      </c>
    </row>
    <row r="30" spans="2:5">
      <c r="B30" s="147" t="s">
        <v>279</v>
      </c>
      <c r="C30" s="119">
        <f>C16-C29</f>
        <v>4865</v>
      </c>
      <c r="D30" s="119">
        <f>D16-D29</f>
        <v>6865</v>
      </c>
      <c r="E30" s="119">
        <f>E16-E29</f>
        <v>6865</v>
      </c>
    </row>
    <row r="31" spans="2:5">
      <c r="B31" s="285" t="str">
        <f>CONCATENATE("",E$1-2,"/",E$1-1," Budget Authority Amount:")</f>
        <v>2012/2013 Budget Authority Amount:</v>
      </c>
      <c r="C31" s="277">
        <f>inputOth!B59</f>
        <v>0</v>
      </c>
      <c r="D31" s="277">
        <f>inputPrYr!D47</f>
        <v>0</v>
      </c>
      <c r="E31" s="477" t="str">
        <f>IF(E30&lt;0,"See Tab E","")</f>
        <v/>
      </c>
    </row>
    <row r="32" spans="2:5">
      <c r="B32" s="285"/>
      <c r="C32" s="319" t="str">
        <f>IF(C29&gt;C31,"See Tab A","")</f>
        <v>See Tab A</v>
      </c>
      <c r="D32" s="319" t="str">
        <f>IF(D29&gt;D31,"See Tab C","")</f>
        <v>See Tab C</v>
      </c>
      <c r="E32" s="144"/>
    </row>
    <row r="33" spans="2:5">
      <c r="B33" s="285"/>
      <c r="C33" s="319" t="str">
        <f>IF(C30&lt;0,"See Tab B","")</f>
        <v/>
      </c>
      <c r="D33" s="319" t="str">
        <f>IF(D30&lt;0,"See Tab D","")</f>
        <v/>
      </c>
      <c r="E33" s="144"/>
    </row>
    <row r="34" spans="2:5">
      <c r="B34" s="84"/>
      <c r="C34" s="144"/>
      <c r="D34" s="144"/>
      <c r="E34" s="144"/>
    </row>
    <row r="35" spans="2:5">
      <c r="B35" s="83" t="s">
        <v>159</v>
      </c>
      <c r="C35" s="325"/>
      <c r="D35" s="325"/>
      <c r="E35" s="325"/>
    </row>
    <row r="36" spans="2:5">
      <c r="B36" s="84"/>
      <c r="C36" s="321" t="str">
        <f t="shared" ref="C36:E37" si="0">C5</f>
        <v xml:space="preserve">Prior Year </v>
      </c>
      <c r="D36" s="214" t="str">
        <f t="shared" si="0"/>
        <v xml:space="preserve">Current Year </v>
      </c>
      <c r="E36" s="214" t="str">
        <f t="shared" si="0"/>
        <v xml:space="preserve">Proposed Budget </v>
      </c>
    </row>
    <row r="37" spans="2:5">
      <c r="B37" s="481" t="str">
        <f>inputPrYr!B48</f>
        <v>Citizen Review Board (18)</v>
      </c>
      <c r="C37" s="313" t="str">
        <f t="shared" si="0"/>
        <v>Actual for 2012</v>
      </c>
      <c r="D37" s="313" t="str">
        <f t="shared" si="0"/>
        <v>Estimate for 2013</v>
      </c>
      <c r="E37" s="313" t="str">
        <f t="shared" si="0"/>
        <v>Year for 2014</v>
      </c>
    </row>
    <row r="38" spans="2:5">
      <c r="B38" s="147" t="s">
        <v>278</v>
      </c>
      <c r="C38" s="111">
        <v>7281</v>
      </c>
      <c r="D38" s="263">
        <f>C61</f>
        <v>6142</v>
      </c>
      <c r="E38" s="263">
        <f>D61</f>
        <v>3100</v>
      </c>
    </row>
    <row r="39" spans="2:5">
      <c r="B39" s="147" t="s">
        <v>280</v>
      </c>
      <c r="C39" s="107"/>
      <c r="D39" s="107"/>
      <c r="E39" s="107"/>
    </row>
    <row r="40" spans="2:5">
      <c r="B40" s="316" t="s">
        <v>997</v>
      </c>
      <c r="C40" s="111">
        <v>9371</v>
      </c>
      <c r="D40" s="111">
        <v>8743</v>
      </c>
      <c r="E40" s="111">
        <v>13400</v>
      </c>
    </row>
    <row r="41" spans="2:5">
      <c r="B41" s="316"/>
      <c r="C41" s="111"/>
      <c r="D41" s="111"/>
      <c r="E41" s="111"/>
    </row>
    <row r="42" spans="2:5">
      <c r="B42" s="316"/>
      <c r="C42" s="111"/>
      <c r="D42" s="111"/>
      <c r="E42" s="111"/>
    </row>
    <row r="43" spans="2:5">
      <c r="B43" s="306" t="s">
        <v>167</v>
      </c>
      <c r="C43" s="111"/>
      <c r="D43" s="111"/>
      <c r="E43" s="111"/>
    </row>
    <row r="44" spans="2:5">
      <c r="B44" s="307" t="s">
        <v>75</v>
      </c>
      <c r="C44" s="111"/>
      <c r="D44" s="302"/>
      <c r="E44" s="302"/>
    </row>
    <row r="45" spans="2:5">
      <c r="B45" s="307" t="s">
        <v>682</v>
      </c>
      <c r="C45" s="478" t="str">
        <f>IF(C46*0.1&lt;C44,"Exceed 10% Rule","")</f>
        <v/>
      </c>
      <c r="D45" s="308" t="str">
        <f>IF(D46*0.1&lt;D44,"Exceed 10% Rule","")</f>
        <v/>
      </c>
      <c r="E45" s="308" t="str">
        <f>IF(E46*0.1&lt;E44,"Exceed 10% Rule","")</f>
        <v/>
      </c>
    </row>
    <row r="46" spans="2:5">
      <c r="B46" s="309" t="s">
        <v>168</v>
      </c>
      <c r="C46" s="350">
        <f>SUM(C40:C44)</f>
        <v>9371</v>
      </c>
      <c r="D46" s="350">
        <f>SUM(D40:D44)</f>
        <v>8743</v>
      </c>
      <c r="E46" s="350">
        <f>SUM(E40:E44)</f>
        <v>13400</v>
      </c>
    </row>
    <row r="47" spans="2:5">
      <c r="B47" s="309" t="s">
        <v>169</v>
      </c>
      <c r="C47" s="350">
        <f>C38+C46</f>
        <v>16652</v>
      </c>
      <c r="D47" s="350">
        <f>D38+D46</f>
        <v>14885</v>
      </c>
      <c r="E47" s="350">
        <f>E38+E46</f>
        <v>16500</v>
      </c>
    </row>
    <row r="48" spans="2:5">
      <c r="B48" s="147" t="s">
        <v>172</v>
      </c>
      <c r="C48" s="263"/>
      <c r="D48" s="263"/>
      <c r="E48" s="263"/>
    </row>
    <row r="49" spans="2:5">
      <c r="B49" s="316" t="s">
        <v>985</v>
      </c>
      <c r="C49" s="111">
        <v>9377</v>
      </c>
      <c r="D49" s="111">
        <v>10260</v>
      </c>
      <c r="E49" s="111">
        <v>11000</v>
      </c>
    </row>
    <row r="50" spans="2:5">
      <c r="B50" s="316" t="s">
        <v>973</v>
      </c>
      <c r="C50" s="111">
        <v>971</v>
      </c>
      <c r="D50" s="111">
        <v>1025</v>
      </c>
      <c r="E50" s="111">
        <v>4500</v>
      </c>
    </row>
    <row r="51" spans="2:5">
      <c r="B51" s="316" t="s">
        <v>974</v>
      </c>
      <c r="C51" s="111">
        <v>162</v>
      </c>
      <c r="D51" s="111">
        <v>500</v>
      </c>
      <c r="E51" s="111">
        <v>1000</v>
      </c>
    </row>
    <row r="52" spans="2:5">
      <c r="B52" s="316"/>
      <c r="C52" s="111"/>
      <c r="D52" s="111"/>
      <c r="E52" s="111"/>
    </row>
    <row r="53" spans="2:5">
      <c r="B53" s="316"/>
      <c r="C53" s="111"/>
      <c r="D53" s="111"/>
      <c r="E53" s="111"/>
    </row>
    <row r="54" spans="2:5">
      <c r="B54" s="316"/>
      <c r="C54" s="111"/>
      <c r="D54" s="111"/>
      <c r="E54" s="111"/>
    </row>
    <row r="55" spans="2:5">
      <c r="B55" s="316"/>
      <c r="C55" s="111"/>
      <c r="D55" s="111"/>
      <c r="E55" s="111"/>
    </row>
    <row r="56" spans="2:5">
      <c r="B56" s="316"/>
      <c r="C56" s="111"/>
      <c r="D56" s="111"/>
      <c r="E56" s="111"/>
    </row>
    <row r="57" spans="2:5">
      <c r="B57" s="316"/>
      <c r="C57" s="111"/>
      <c r="D57" s="111"/>
      <c r="E57" s="111"/>
    </row>
    <row r="58" spans="2:5">
      <c r="B58" s="307" t="s">
        <v>75</v>
      </c>
      <c r="C58" s="111"/>
      <c r="D58" s="302"/>
      <c r="E58" s="302"/>
    </row>
    <row r="59" spans="2:5">
      <c r="B59" s="307" t="s">
        <v>681</v>
      </c>
      <c r="C59" s="478" t="str">
        <f>IF(C60*0.1&lt;C58,"Exceed 10% Rule","")</f>
        <v/>
      </c>
      <c r="D59" s="308" t="str">
        <f>IF(D60*0.1&lt;D58,"Exceed 10% Rule","")</f>
        <v/>
      </c>
      <c r="E59" s="308" t="str">
        <f>IF(E60*0.1&lt;E58,"Exceed 10% Rule","")</f>
        <v/>
      </c>
    </row>
    <row r="60" spans="2:5">
      <c r="B60" s="309" t="s">
        <v>173</v>
      </c>
      <c r="C60" s="350">
        <f>SUM(C49:C58)</f>
        <v>10510</v>
      </c>
      <c r="D60" s="350">
        <f>SUM(D49:D58)</f>
        <v>11785</v>
      </c>
      <c r="E60" s="350">
        <f>SUM(E49:E58)</f>
        <v>16500</v>
      </c>
    </row>
    <row r="61" spans="2:5">
      <c r="B61" s="147" t="s">
        <v>279</v>
      </c>
      <c r="C61" s="119">
        <f>C47-C60</f>
        <v>6142</v>
      </c>
      <c r="D61" s="119">
        <f>D47-D60</f>
        <v>3100</v>
      </c>
      <c r="E61" s="119">
        <f>E47-E60</f>
        <v>0</v>
      </c>
    </row>
    <row r="62" spans="2:5">
      <c r="B62" s="285" t="str">
        <f>CONCATENATE("",E$1-2,"/",E$1-1," Budget Authority Amount:")</f>
        <v>2012/2013 Budget Authority Amount:</v>
      </c>
      <c r="C62" s="277">
        <f>inputOth!B60</f>
        <v>16500</v>
      </c>
      <c r="D62" s="277">
        <f>inputPrYr!D48</f>
        <v>16500</v>
      </c>
      <c r="E62" s="476" t="str">
        <f>IF(E61&lt;0,"See Tab E","")</f>
        <v/>
      </c>
    </row>
    <row r="63" spans="2:5">
      <c r="B63" s="285"/>
      <c r="C63" s="319" t="str">
        <f>IF(C60&gt;C62,"See Tab A","")</f>
        <v/>
      </c>
      <c r="D63" s="319" t="str">
        <f>IF(D60&gt;D62,"See Tab C","")</f>
        <v/>
      </c>
      <c r="E63" s="84"/>
    </row>
    <row r="64" spans="2:5">
      <c r="B64" s="285"/>
      <c r="C64" s="319" t="str">
        <f>IF(C61&lt;0,"See Tab B","")</f>
        <v/>
      </c>
      <c r="D64" s="319" t="str">
        <f>IF(D61&lt;0,"See Tab D","")</f>
        <v/>
      </c>
      <c r="E64" s="84"/>
    </row>
    <row r="65" spans="2:5">
      <c r="B65" s="84"/>
      <c r="C65" s="84"/>
      <c r="D65" s="84"/>
      <c r="E65" s="84"/>
    </row>
    <row r="66" spans="2:5">
      <c r="B66" s="285" t="s">
        <v>188</v>
      </c>
      <c r="C66" s="347">
        <v>18</v>
      </c>
      <c r="D66" s="84"/>
      <c r="E66" s="84"/>
    </row>
  </sheetData>
  <phoneticPr fontId="0" type="noConversion"/>
  <conditionalFormatting sqref="C27">
    <cfRule type="cellIs" dxfId="112" priority="3" stopIfTrue="1" operator="greaterThan">
      <formula>$C$29*0.1</formula>
    </cfRule>
  </conditionalFormatting>
  <conditionalFormatting sqref="D27">
    <cfRule type="cellIs" dxfId="111" priority="4" stopIfTrue="1" operator="greaterThan">
      <formula>$D$29*0.1</formula>
    </cfRule>
  </conditionalFormatting>
  <conditionalFormatting sqref="E27">
    <cfRule type="cellIs" dxfId="110" priority="5" stopIfTrue="1" operator="greaterThan">
      <formula>$E$29*0.1</formula>
    </cfRule>
  </conditionalFormatting>
  <conditionalFormatting sqref="C13">
    <cfRule type="cellIs" dxfId="109" priority="6" stopIfTrue="1" operator="greaterThan">
      <formula>$C$15*0.1</formula>
    </cfRule>
  </conditionalFormatting>
  <conditionalFormatting sqref="D13">
    <cfRule type="cellIs" dxfId="108" priority="7" stopIfTrue="1" operator="greaterThan">
      <formula>$D$15*0.1</formula>
    </cfRule>
  </conditionalFormatting>
  <conditionalFormatting sqref="E13">
    <cfRule type="cellIs" dxfId="107" priority="8" stopIfTrue="1" operator="greaterThan">
      <formula>$E$15*0.1</formula>
    </cfRule>
  </conditionalFormatting>
  <conditionalFormatting sqref="C44">
    <cfRule type="cellIs" dxfId="106" priority="9" stopIfTrue="1" operator="greaterThan">
      <formula>$C$46*0.1</formula>
    </cfRule>
  </conditionalFormatting>
  <conditionalFormatting sqref="D44">
    <cfRule type="cellIs" dxfId="105" priority="10" stopIfTrue="1" operator="greaterThan">
      <formula>$D$46*0.1</formula>
    </cfRule>
  </conditionalFormatting>
  <conditionalFormatting sqref="E44">
    <cfRule type="cellIs" dxfId="104" priority="11" stopIfTrue="1" operator="greaterThan">
      <formula>$E$46*0.1</formula>
    </cfRule>
  </conditionalFormatting>
  <conditionalFormatting sqref="C58">
    <cfRule type="cellIs" dxfId="103" priority="12" stopIfTrue="1" operator="greaterThan">
      <formula>$C$60*0.1</formula>
    </cfRule>
  </conditionalFormatting>
  <conditionalFormatting sqref="D58">
    <cfRule type="cellIs" dxfId="102" priority="13" stopIfTrue="1" operator="greaterThan">
      <formula>$D$60*0.1</formula>
    </cfRule>
  </conditionalFormatting>
  <conditionalFormatting sqref="E58">
    <cfRule type="cellIs" dxfId="101" priority="14" stopIfTrue="1" operator="greaterThan">
      <formula>$E$60*0.1</formula>
    </cfRule>
  </conditionalFormatting>
  <conditionalFormatting sqref="E30 C30 E61 C61">
    <cfRule type="cellIs" dxfId="100" priority="15" stopIfTrue="1" operator="lessThan">
      <formula>0</formula>
    </cfRule>
  </conditionalFormatting>
  <conditionalFormatting sqref="D29">
    <cfRule type="cellIs" dxfId="99" priority="16" stopIfTrue="1" operator="greaterThan">
      <formula>$D$31</formula>
    </cfRule>
  </conditionalFormatting>
  <conditionalFormatting sqref="C29">
    <cfRule type="cellIs" dxfId="98" priority="17" stopIfTrue="1" operator="greaterThan">
      <formula>$C$31</formula>
    </cfRule>
  </conditionalFormatting>
  <conditionalFormatting sqref="D60">
    <cfRule type="cellIs" dxfId="97" priority="18" stopIfTrue="1" operator="greaterThan">
      <formula>$D$62</formula>
    </cfRule>
  </conditionalFormatting>
  <conditionalFormatting sqref="C60">
    <cfRule type="cellIs" dxfId="96" priority="19" stopIfTrue="1" operator="greaterThan">
      <formula>$C$62</formula>
    </cfRule>
  </conditionalFormatting>
  <conditionalFormatting sqref="D30">
    <cfRule type="cellIs" dxfId="95" priority="2" stopIfTrue="1" operator="lessThan">
      <formula>0</formula>
    </cfRule>
  </conditionalFormatting>
  <conditionalFormatting sqref="D61">
    <cfRule type="cellIs" dxfId="94" priority="1" stopIfTrue="1" operator="lessThan">
      <formula>0</formula>
    </cfRule>
  </conditionalFormatting>
  <pageMargins left="1.1200000000000001" right="0.5" top="0.74" bottom="0.34" header="0.5" footer="0"/>
  <pageSetup scale="70" orientation="portrait" blackAndWhite="1" horizontalDpi="120" verticalDpi="144" r:id="rId1"/>
  <headerFooter alignWithMargins="0">
    <oddHeader xml:space="preserve">&amp;RState of Kansas
County
</oddHeader>
  </headerFooter>
</worksheet>
</file>

<file path=xl/worksheets/sheet32.xml><?xml version="1.0" encoding="utf-8"?>
<worksheet xmlns="http://schemas.openxmlformats.org/spreadsheetml/2006/main" xmlns:r="http://schemas.openxmlformats.org/officeDocument/2006/relationships">
  <sheetPr codeName="Sheet27">
    <pageSetUpPr fitToPage="1"/>
  </sheetPr>
  <dimension ref="B1:E66"/>
  <sheetViews>
    <sheetView workbookViewId="0">
      <selection activeCell="G31" sqref="G31"/>
    </sheetView>
  </sheetViews>
  <sheetFormatPr defaultRowHeight="15.75"/>
  <cols>
    <col min="1" max="1" width="2.44140625" style="71" customWidth="1"/>
    <col min="2" max="2" width="31.109375" style="71" customWidth="1"/>
    <col min="3" max="4" width="15.77734375" style="71" customWidth="1"/>
    <col min="5" max="5" width="16.109375" style="71" customWidth="1"/>
    <col min="6" max="16384" width="8.88671875" style="71"/>
  </cols>
  <sheetData>
    <row r="1" spans="2:5">
      <c r="B1" s="226" t="str">
        <f>(inputPrYr!C2)</f>
        <v>Lyon County</v>
      </c>
      <c r="C1" s="84"/>
      <c r="D1" s="84"/>
      <c r="E1" s="284">
        <f>inputPrYr!C4</f>
        <v>2014</v>
      </c>
    </row>
    <row r="2" spans="2:5">
      <c r="B2" s="84"/>
      <c r="C2" s="84"/>
      <c r="D2" s="84"/>
      <c r="E2" s="238"/>
    </row>
    <row r="3" spans="2:5">
      <c r="B3" s="151" t="s">
        <v>237</v>
      </c>
      <c r="C3" s="331"/>
      <c r="D3" s="331"/>
      <c r="E3" s="332"/>
    </row>
    <row r="4" spans="2:5">
      <c r="B4" s="84"/>
      <c r="C4" s="325"/>
      <c r="D4" s="325"/>
      <c r="E4" s="325"/>
    </row>
    <row r="5" spans="2:5">
      <c r="B5" s="83" t="s">
        <v>159</v>
      </c>
      <c r="C5" s="321" t="str">
        <f>general!C4</f>
        <v xml:space="preserve">Prior Year </v>
      </c>
      <c r="D5" s="214" t="str">
        <f>general!D4</f>
        <v xml:space="preserve">Current Year </v>
      </c>
      <c r="E5" s="214" t="str">
        <f>general!E4</f>
        <v xml:space="preserve">Proposed Budget </v>
      </c>
    </row>
    <row r="6" spans="2:5">
      <c r="B6" s="482" t="str">
        <f>inputPrYr!B49</f>
        <v>911 Service Fund (19)</v>
      </c>
      <c r="C6" s="313" t="str">
        <f>general!C5</f>
        <v>Actual for 2012</v>
      </c>
      <c r="D6" s="313" t="str">
        <f>general!D5</f>
        <v>Estimate for 2013</v>
      </c>
      <c r="E6" s="300" t="str">
        <f>general!E5</f>
        <v>Year for 2014</v>
      </c>
    </row>
    <row r="7" spans="2:5">
      <c r="B7" s="147" t="s">
        <v>278</v>
      </c>
      <c r="C7" s="111">
        <v>85923</v>
      </c>
      <c r="D7" s="263">
        <f>C30</f>
        <v>67151</v>
      </c>
      <c r="E7" s="263">
        <f>D30</f>
        <v>46151</v>
      </c>
    </row>
    <row r="8" spans="2:5">
      <c r="B8" s="334" t="s">
        <v>280</v>
      </c>
      <c r="C8" s="107"/>
      <c r="D8" s="107"/>
      <c r="E8" s="107"/>
    </row>
    <row r="9" spans="2:5">
      <c r="B9" s="316" t="s">
        <v>1002</v>
      </c>
      <c r="C9" s="111">
        <v>917</v>
      </c>
      <c r="D9" s="111">
        <v>5000</v>
      </c>
      <c r="E9" s="111"/>
    </row>
    <row r="10" spans="2:5">
      <c r="B10" s="316" t="s">
        <v>1003</v>
      </c>
      <c r="C10" s="111">
        <v>0</v>
      </c>
      <c r="D10" s="111"/>
      <c r="E10" s="111"/>
    </row>
    <row r="11" spans="2:5">
      <c r="B11" s="316"/>
      <c r="C11" s="111"/>
      <c r="D11" s="111"/>
      <c r="E11" s="111"/>
    </row>
    <row r="12" spans="2:5">
      <c r="B12" s="306" t="s">
        <v>167</v>
      </c>
      <c r="C12" s="111"/>
      <c r="D12" s="111"/>
      <c r="E12" s="111"/>
    </row>
    <row r="13" spans="2:5">
      <c r="B13" s="307" t="s">
        <v>75</v>
      </c>
      <c r="C13" s="111"/>
      <c r="D13" s="302"/>
      <c r="E13" s="302"/>
    </row>
    <row r="14" spans="2:5">
      <c r="B14" s="307" t="s">
        <v>682</v>
      </c>
      <c r="C14" s="478" t="str">
        <f>IF(C15*0.1&lt;C13,"Exceed 10% Rule","")</f>
        <v/>
      </c>
      <c r="D14" s="308" t="str">
        <f>IF(D15*0.1&lt;D13,"Exceed 10% Rule","")</f>
        <v/>
      </c>
      <c r="E14" s="308" t="str">
        <f>IF(E15*0.1&lt;E13,"Exceed 10% Rule","")</f>
        <v/>
      </c>
    </row>
    <row r="15" spans="2:5">
      <c r="B15" s="309" t="s">
        <v>168</v>
      </c>
      <c r="C15" s="350">
        <f>SUM(C9:C13)</f>
        <v>917</v>
      </c>
      <c r="D15" s="350">
        <f>SUM(D9:D13)</f>
        <v>5000</v>
      </c>
      <c r="E15" s="350">
        <f>SUM(E9:E13)</f>
        <v>0</v>
      </c>
    </row>
    <row r="16" spans="2:5">
      <c r="B16" s="309" t="s">
        <v>169</v>
      </c>
      <c r="C16" s="350">
        <f>C15+C7</f>
        <v>86840</v>
      </c>
      <c r="D16" s="350">
        <f>D15+D7</f>
        <v>72151</v>
      </c>
      <c r="E16" s="350">
        <f>E15+E7</f>
        <v>46151</v>
      </c>
    </row>
    <row r="17" spans="2:5">
      <c r="B17" s="147" t="s">
        <v>172</v>
      </c>
      <c r="C17" s="263"/>
      <c r="D17" s="263"/>
      <c r="E17" s="263"/>
    </row>
    <row r="18" spans="2:5">
      <c r="B18" s="316" t="s">
        <v>973</v>
      </c>
      <c r="C18" s="111">
        <v>19442</v>
      </c>
      <c r="D18" s="111">
        <v>25000</v>
      </c>
      <c r="E18" s="111">
        <v>25000</v>
      </c>
    </row>
    <row r="19" spans="2:5">
      <c r="B19" s="316" t="s">
        <v>974</v>
      </c>
      <c r="C19" s="111">
        <v>247</v>
      </c>
      <c r="D19" s="111">
        <v>1000</v>
      </c>
      <c r="E19" s="111">
        <v>1200</v>
      </c>
    </row>
    <row r="20" spans="2:5">
      <c r="B20" s="316" t="s">
        <v>975</v>
      </c>
      <c r="C20" s="111"/>
      <c r="D20" s="111"/>
      <c r="E20" s="111"/>
    </row>
    <row r="21" spans="2:5">
      <c r="B21" s="316"/>
      <c r="C21" s="111"/>
      <c r="D21" s="111"/>
      <c r="E21" s="111"/>
    </row>
    <row r="22" spans="2:5">
      <c r="B22" s="316"/>
      <c r="C22" s="111"/>
      <c r="D22" s="111"/>
      <c r="E22" s="111"/>
    </row>
    <row r="23" spans="2:5">
      <c r="B23" s="316"/>
      <c r="C23" s="111"/>
      <c r="D23" s="111"/>
      <c r="E23" s="111"/>
    </row>
    <row r="24" spans="2:5">
      <c r="B24" s="316"/>
      <c r="C24" s="111"/>
      <c r="D24" s="111"/>
      <c r="E24" s="111"/>
    </row>
    <row r="25" spans="2:5">
      <c r="B25" s="316"/>
      <c r="C25" s="111"/>
      <c r="D25" s="111"/>
      <c r="E25" s="111"/>
    </row>
    <row r="26" spans="2:5">
      <c r="B26" s="316"/>
      <c r="C26" s="111"/>
      <c r="D26" s="111"/>
      <c r="E26" s="111"/>
    </row>
    <row r="27" spans="2:5">
      <c r="B27" s="307" t="s">
        <v>75</v>
      </c>
      <c r="C27" s="111"/>
      <c r="D27" s="302"/>
      <c r="E27" s="302"/>
    </row>
    <row r="28" spans="2:5">
      <c r="B28" s="307" t="s">
        <v>681</v>
      </c>
      <c r="C28" s="478" t="str">
        <f>IF(C29*0.1&lt;C27,"Exceed 10% Rule","")</f>
        <v/>
      </c>
      <c r="D28" s="308" t="str">
        <f>IF(D29*0.1&lt;D27,"Exceed 10% Rule","")</f>
        <v/>
      </c>
      <c r="E28" s="308" t="str">
        <f>IF(E29*0.1&lt;E27,"Exceed 10% Rule","")</f>
        <v/>
      </c>
    </row>
    <row r="29" spans="2:5">
      <c r="B29" s="309" t="s">
        <v>173</v>
      </c>
      <c r="C29" s="350">
        <f>SUM(C18:C27)</f>
        <v>19689</v>
      </c>
      <c r="D29" s="350">
        <f>SUM(D18:D27)</f>
        <v>26000</v>
      </c>
      <c r="E29" s="350">
        <f>SUM(E18:E27)</f>
        <v>26200</v>
      </c>
    </row>
    <row r="30" spans="2:5">
      <c r="B30" s="147" t="s">
        <v>279</v>
      </c>
      <c r="C30" s="119">
        <f>C16-C29</f>
        <v>67151</v>
      </c>
      <c r="D30" s="119">
        <f>D16-D29</f>
        <v>46151</v>
      </c>
      <c r="E30" s="119">
        <f>E16-E29</f>
        <v>19951</v>
      </c>
    </row>
    <row r="31" spans="2:5">
      <c r="B31" s="285" t="str">
        <f>CONCATENATE("",E$1-2,"/",E$1-1," Budget Authority Amount:")</f>
        <v>2012/2013 Budget Authority Amount:</v>
      </c>
      <c r="C31" s="277">
        <f>inputOth!B61</f>
        <v>40200</v>
      </c>
      <c r="D31" s="277">
        <f>inputPrYr!D49</f>
        <v>40200</v>
      </c>
      <c r="E31" s="477" t="str">
        <f>IF(E30&lt;0,"See Tab E","")</f>
        <v/>
      </c>
    </row>
    <row r="32" spans="2:5">
      <c r="B32" s="285"/>
      <c r="C32" s="319" t="str">
        <f>IF(C29&gt;C31,"See Tab A","")</f>
        <v/>
      </c>
      <c r="D32" s="319" t="str">
        <f>IF(D29&gt;D31,"See Tab C","")</f>
        <v/>
      </c>
      <c r="E32" s="144"/>
    </row>
    <row r="33" spans="2:5">
      <c r="B33" s="285"/>
      <c r="C33" s="319" t="str">
        <f>IF(C30&lt;0,"See Tab B","")</f>
        <v/>
      </c>
      <c r="D33" s="319" t="str">
        <f>IF(D30&lt;0,"See Tab D","")</f>
        <v/>
      </c>
      <c r="E33" s="144"/>
    </row>
    <row r="34" spans="2:5">
      <c r="B34" s="84"/>
      <c r="C34" s="144"/>
      <c r="D34" s="144"/>
      <c r="E34" s="144"/>
    </row>
    <row r="35" spans="2:5">
      <c r="B35" s="83" t="s">
        <v>159</v>
      </c>
      <c r="C35" s="325"/>
      <c r="D35" s="325"/>
      <c r="E35" s="325"/>
    </row>
    <row r="36" spans="2:5">
      <c r="B36" s="84"/>
      <c r="C36" s="321" t="str">
        <f t="shared" ref="C36:E37" si="0">C5</f>
        <v xml:space="preserve">Prior Year </v>
      </c>
      <c r="D36" s="214" t="str">
        <f t="shared" si="0"/>
        <v xml:space="preserve">Current Year </v>
      </c>
      <c r="E36" s="214" t="str">
        <f t="shared" si="0"/>
        <v xml:space="preserve">Proposed Budget </v>
      </c>
    </row>
    <row r="37" spans="2:5">
      <c r="B37" s="481" t="str">
        <f>inputPrYr!B50</f>
        <v>Register of Deeds Technology (36)</v>
      </c>
      <c r="C37" s="313" t="str">
        <f t="shared" si="0"/>
        <v>Actual for 2012</v>
      </c>
      <c r="D37" s="313" t="str">
        <f t="shared" si="0"/>
        <v>Estimate for 2013</v>
      </c>
      <c r="E37" s="313" t="str">
        <f t="shared" si="0"/>
        <v>Year for 2014</v>
      </c>
    </row>
    <row r="38" spans="2:5">
      <c r="B38" s="147" t="s">
        <v>278</v>
      </c>
      <c r="C38" s="111">
        <v>38619</v>
      </c>
      <c r="D38" s="263">
        <f>C61</f>
        <v>21206</v>
      </c>
      <c r="E38" s="263">
        <f>D61</f>
        <v>18397</v>
      </c>
    </row>
    <row r="39" spans="2:5">
      <c r="B39" s="147" t="s">
        <v>280</v>
      </c>
      <c r="C39" s="107"/>
      <c r="D39" s="107"/>
      <c r="E39" s="107"/>
    </row>
    <row r="40" spans="2:5">
      <c r="B40" s="316" t="s">
        <v>942</v>
      </c>
      <c r="C40" s="111">
        <v>33496</v>
      </c>
      <c r="D40" s="111">
        <v>35000</v>
      </c>
      <c r="E40" s="111">
        <v>50000</v>
      </c>
    </row>
    <row r="41" spans="2:5">
      <c r="B41" s="316"/>
      <c r="C41" s="111"/>
      <c r="D41" s="111"/>
      <c r="E41" s="111"/>
    </row>
    <row r="42" spans="2:5">
      <c r="B42" s="316"/>
      <c r="C42" s="111"/>
      <c r="D42" s="111"/>
      <c r="E42" s="111"/>
    </row>
    <row r="43" spans="2:5">
      <c r="B43" s="306" t="s">
        <v>167</v>
      </c>
      <c r="C43" s="111"/>
      <c r="D43" s="111"/>
      <c r="E43" s="111"/>
    </row>
    <row r="44" spans="2:5">
      <c r="B44" s="307" t="s">
        <v>75</v>
      </c>
      <c r="C44" s="111"/>
      <c r="D44" s="302"/>
      <c r="E44" s="302"/>
    </row>
    <row r="45" spans="2:5">
      <c r="B45" s="307" t="s">
        <v>682</v>
      </c>
      <c r="C45" s="478" t="str">
        <f>IF(C46*0.1&lt;C44,"Exceed 10% Rule","")</f>
        <v/>
      </c>
      <c r="D45" s="308" t="str">
        <f>IF(D46*0.1&lt;D44,"Exceed 10% Rule","")</f>
        <v/>
      </c>
      <c r="E45" s="308" t="str">
        <f>IF(E46*0.1&lt;E44,"Exceed 10% Rule","")</f>
        <v/>
      </c>
    </row>
    <row r="46" spans="2:5">
      <c r="B46" s="309" t="s">
        <v>168</v>
      </c>
      <c r="C46" s="350">
        <f>SUM(C40:C44)</f>
        <v>33496</v>
      </c>
      <c r="D46" s="350">
        <f>SUM(D40:D44)</f>
        <v>35000</v>
      </c>
      <c r="E46" s="350">
        <f>SUM(E40:E44)</f>
        <v>50000</v>
      </c>
    </row>
    <row r="47" spans="2:5">
      <c r="B47" s="309" t="s">
        <v>169</v>
      </c>
      <c r="C47" s="350">
        <f>C38+C46</f>
        <v>72115</v>
      </c>
      <c r="D47" s="350">
        <f>D38+D46</f>
        <v>56206</v>
      </c>
      <c r="E47" s="350">
        <f>E38+E46</f>
        <v>68397</v>
      </c>
    </row>
    <row r="48" spans="2:5">
      <c r="B48" s="147" t="s">
        <v>172</v>
      </c>
      <c r="C48" s="263"/>
      <c r="D48" s="263"/>
      <c r="E48" s="263"/>
    </row>
    <row r="49" spans="2:5">
      <c r="B49" s="316" t="s">
        <v>973</v>
      </c>
      <c r="C49" s="111">
        <v>48876</v>
      </c>
      <c r="D49" s="111">
        <v>26000</v>
      </c>
      <c r="E49" s="111">
        <v>26000</v>
      </c>
    </row>
    <row r="50" spans="2:5">
      <c r="B50" s="316" t="s">
        <v>974</v>
      </c>
      <c r="C50" s="111">
        <v>2033</v>
      </c>
      <c r="D50" s="111">
        <v>7000</v>
      </c>
      <c r="E50" s="111">
        <v>7000</v>
      </c>
    </row>
    <row r="51" spans="2:5">
      <c r="B51" s="316" t="s">
        <v>975</v>
      </c>
      <c r="C51" s="111">
        <v>0</v>
      </c>
      <c r="D51" s="111">
        <v>4809</v>
      </c>
      <c r="E51" s="111">
        <v>17000</v>
      </c>
    </row>
    <row r="52" spans="2:5">
      <c r="B52" s="316"/>
      <c r="C52" s="111"/>
      <c r="D52" s="111"/>
      <c r="E52" s="111"/>
    </row>
    <row r="53" spans="2:5">
      <c r="B53" s="316"/>
      <c r="C53" s="111"/>
      <c r="D53" s="111"/>
      <c r="E53" s="111"/>
    </row>
    <row r="54" spans="2:5">
      <c r="B54" s="316"/>
      <c r="C54" s="111"/>
      <c r="D54" s="111"/>
      <c r="E54" s="111"/>
    </row>
    <row r="55" spans="2:5">
      <c r="B55" s="316"/>
      <c r="C55" s="111"/>
      <c r="D55" s="111"/>
      <c r="E55" s="111"/>
    </row>
    <row r="56" spans="2:5">
      <c r="B56" s="316"/>
      <c r="C56" s="111"/>
      <c r="D56" s="111"/>
      <c r="E56" s="111"/>
    </row>
    <row r="57" spans="2:5">
      <c r="B57" s="316"/>
      <c r="C57" s="111"/>
      <c r="D57" s="111"/>
      <c r="E57" s="111"/>
    </row>
    <row r="58" spans="2:5">
      <c r="B58" s="307" t="s">
        <v>75</v>
      </c>
      <c r="C58" s="111"/>
      <c r="D58" s="302"/>
      <c r="E58" s="302"/>
    </row>
    <row r="59" spans="2:5">
      <c r="B59" s="307" t="s">
        <v>681</v>
      </c>
      <c r="C59" s="478" t="str">
        <f>IF(C60*0.1&lt;C58,"Exceed 10% Rule","")</f>
        <v/>
      </c>
      <c r="D59" s="308" t="str">
        <f>IF(D60*0.1&lt;D58,"Exceed 10% Rule","")</f>
        <v/>
      </c>
      <c r="E59" s="308" t="str">
        <f>IF(E60*0.1&lt;E58,"Exceed 10% Rule","")</f>
        <v/>
      </c>
    </row>
    <row r="60" spans="2:5">
      <c r="B60" s="309" t="s">
        <v>173</v>
      </c>
      <c r="C60" s="350">
        <f>SUM(C49:C58)</f>
        <v>50909</v>
      </c>
      <c r="D60" s="350">
        <f>SUM(D49:D58)</f>
        <v>37809</v>
      </c>
      <c r="E60" s="350">
        <f>SUM(E49:E58)</f>
        <v>50000</v>
      </c>
    </row>
    <row r="61" spans="2:5">
      <c r="B61" s="147" t="s">
        <v>279</v>
      </c>
      <c r="C61" s="119">
        <f>C47-C60</f>
        <v>21206</v>
      </c>
      <c r="D61" s="119">
        <f>D47-D60</f>
        <v>18397</v>
      </c>
      <c r="E61" s="119">
        <f>E47-E60</f>
        <v>18397</v>
      </c>
    </row>
    <row r="62" spans="2:5">
      <c r="B62" s="285" t="str">
        <f>CONCATENATE("",E$1-2,"/",E$1-1," Budget Authority Amount:")</f>
        <v>2012/2013 Budget Authority Amount:</v>
      </c>
      <c r="C62" s="277">
        <f>inputOth!B62</f>
        <v>50000</v>
      </c>
      <c r="D62" s="277">
        <f>inputPrYr!D50</f>
        <v>50000</v>
      </c>
      <c r="E62" s="476" t="str">
        <f>IF(E61&lt;0,"See Tab E","")</f>
        <v/>
      </c>
    </row>
    <row r="63" spans="2:5">
      <c r="B63" s="285"/>
      <c r="C63" s="319" t="str">
        <f>IF(C60&gt;C62,"See Tab A","")</f>
        <v>See Tab A</v>
      </c>
      <c r="D63" s="319" t="str">
        <f>IF(D60&gt;D62,"See Tab C","")</f>
        <v/>
      </c>
      <c r="E63" s="84"/>
    </row>
    <row r="64" spans="2:5">
      <c r="B64" s="285"/>
      <c r="C64" s="319" t="str">
        <f>IF(C61&lt;0,"See Tab B","")</f>
        <v/>
      </c>
      <c r="D64" s="319" t="str">
        <f>IF(D61&lt;0,"See Tab D","")</f>
        <v/>
      </c>
      <c r="E64" s="84"/>
    </row>
    <row r="65" spans="2:5">
      <c r="B65" s="84"/>
      <c r="C65" s="84"/>
      <c r="D65" s="84"/>
      <c r="E65" s="84"/>
    </row>
    <row r="66" spans="2:5">
      <c r="B66" s="285" t="s">
        <v>188</v>
      </c>
      <c r="C66" s="347">
        <v>19</v>
      </c>
      <c r="D66" s="84"/>
      <c r="E66" s="84"/>
    </row>
  </sheetData>
  <phoneticPr fontId="0" type="noConversion"/>
  <conditionalFormatting sqref="C27">
    <cfRule type="cellIs" dxfId="93" priority="3" stopIfTrue="1" operator="greaterThan">
      <formula>$C$29*0.1</formula>
    </cfRule>
  </conditionalFormatting>
  <conditionalFormatting sqref="D27">
    <cfRule type="cellIs" dxfId="92" priority="4" stopIfTrue="1" operator="greaterThan">
      <formula>$D$29*0.1</formula>
    </cfRule>
  </conditionalFormatting>
  <conditionalFormatting sqref="E27">
    <cfRule type="cellIs" dxfId="91" priority="5" stopIfTrue="1" operator="greaterThan">
      <formula>$E$29*0.1</formula>
    </cfRule>
  </conditionalFormatting>
  <conditionalFormatting sqref="C13">
    <cfRule type="cellIs" dxfId="90" priority="6" stopIfTrue="1" operator="greaterThan">
      <formula>$C$15*0.1</formula>
    </cfRule>
  </conditionalFormatting>
  <conditionalFormatting sqref="D13">
    <cfRule type="cellIs" dxfId="89" priority="7" stopIfTrue="1" operator="greaterThan">
      <formula>$D$15*0.1</formula>
    </cfRule>
  </conditionalFormatting>
  <conditionalFormatting sqref="E13">
    <cfRule type="cellIs" dxfId="88" priority="8" stopIfTrue="1" operator="greaterThan">
      <formula>$E$15*0.1</formula>
    </cfRule>
  </conditionalFormatting>
  <conditionalFormatting sqref="C44">
    <cfRule type="cellIs" dxfId="87" priority="9" stopIfTrue="1" operator="greaterThan">
      <formula>$C$46*0.1</formula>
    </cfRule>
  </conditionalFormatting>
  <conditionalFormatting sqref="D44">
    <cfRule type="cellIs" dxfId="86" priority="10" stopIfTrue="1" operator="greaterThan">
      <formula>$D$46*0.1</formula>
    </cfRule>
  </conditionalFormatting>
  <conditionalFormatting sqref="E44">
    <cfRule type="cellIs" dxfId="85" priority="11" stopIfTrue="1" operator="greaterThan">
      <formula>$E$46*0.1</formula>
    </cfRule>
  </conditionalFormatting>
  <conditionalFormatting sqref="C58">
    <cfRule type="cellIs" dxfId="84" priority="12" stopIfTrue="1" operator="greaterThan">
      <formula>$C$60*0.1</formula>
    </cfRule>
  </conditionalFormatting>
  <conditionalFormatting sqref="D58">
    <cfRule type="cellIs" dxfId="83" priority="13" stopIfTrue="1" operator="greaterThan">
      <formula>$D$60*0.1</formula>
    </cfRule>
  </conditionalFormatting>
  <conditionalFormatting sqref="E58">
    <cfRule type="cellIs" dxfId="82" priority="14" stopIfTrue="1" operator="greaterThan">
      <formula>$E$60*0.1</formula>
    </cfRule>
  </conditionalFormatting>
  <conditionalFormatting sqref="E30 C30 E61 C61">
    <cfRule type="cellIs" dxfId="81" priority="15" stopIfTrue="1" operator="lessThan">
      <formula>0</formula>
    </cfRule>
  </conditionalFormatting>
  <conditionalFormatting sqref="D29">
    <cfRule type="cellIs" dxfId="80" priority="16" stopIfTrue="1" operator="greaterThan">
      <formula>$D$31</formula>
    </cfRule>
  </conditionalFormatting>
  <conditionalFormatting sqref="C29">
    <cfRule type="cellIs" dxfId="79" priority="17" stopIfTrue="1" operator="greaterThan">
      <formula>$C$31</formula>
    </cfRule>
  </conditionalFormatting>
  <conditionalFormatting sqref="D60">
    <cfRule type="cellIs" dxfId="78" priority="18" stopIfTrue="1" operator="greaterThan">
      <formula>$D$62</formula>
    </cfRule>
  </conditionalFormatting>
  <conditionalFormatting sqref="C60">
    <cfRule type="cellIs" dxfId="77" priority="19" stopIfTrue="1" operator="greaterThan">
      <formula>$C$62</formula>
    </cfRule>
  </conditionalFormatting>
  <conditionalFormatting sqref="D30">
    <cfRule type="cellIs" dxfId="76" priority="2" stopIfTrue="1" operator="lessThan">
      <formula>0</formula>
    </cfRule>
  </conditionalFormatting>
  <conditionalFormatting sqref="D61">
    <cfRule type="cellIs" dxfId="75" priority="1" stopIfTrue="1" operator="lessThan">
      <formula>0</formula>
    </cfRule>
  </conditionalFormatting>
  <pageMargins left="1.1200000000000001" right="0.5" top="0.74" bottom="0.34" header="0.5" footer="0"/>
  <pageSetup scale="70" orientation="portrait" blackAndWhite="1" horizontalDpi="120" verticalDpi="144" r:id="rId1"/>
  <headerFooter alignWithMargins="0">
    <oddHeader xml:space="preserve">&amp;RState of Kansas
County
</oddHeader>
  </headerFooter>
</worksheet>
</file>

<file path=xl/worksheets/sheet33.xml><?xml version="1.0" encoding="utf-8"?>
<worksheet xmlns="http://schemas.openxmlformats.org/spreadsheetml/2006/main" xmlns:r="http://schemas.openxmlformats.org/officeDocument/2006/relationships">
  <sheetPr codeName="Sheet28">
    <pageSetUpPr fitToPage="1"/>
  </sheetPr>
  <dimension ref="B1:E66"/>
  <sheetViews>
    <sheetView workbookViewId="0">
      <selection activeCell="E18" sqref="E18"/>
    </sheetView>
  </sheetViews>
  <sheetFormatPr defaultRowHeight="15.75"/>
  <cols>
    <col min="1" max="1" width="2.44140625" style="71" customWidth="1"/>
    <col min="2" max="2" width="31.109375" style="71" customWidth="1"/>
    <col min="3" max="4" width="15.77734375" style="71" customWidth="1"/>
    <col min="5" max="5" width="16.109375" style="71" customWidth="1"/>
    <col min="6" max="16384" width="8.88671875" style="71"/>
  </cols>
  <sheetData>
    <row r="1" spans="2:5">
      <c r="B1" s="226" t="str">
        <f>(inputPrYr!C2)</f>
        <v>Lyon County</v>
      </c>
      <c r="C1" s="84"/>
      <c r="D1" s="84"/>
      <c r="E1" s="284">
        <f>inputPrYr!C4</f>
        <v>2014</v>
      </c>
    </row>
    <row r="2" spans="2:5">
      <c r="B2" s="84"/>
      <c r="C2" s="84"/>
      <c r="D2" s="84"/>
      <c r="E2" s="238"/>
    </row>
    <row r="3" spans="2:5">
      <c r="B3" s="151" t="s">
        <v>237</v>
      </c>
      <c r="C3" s="331"/>
      <c r="D3" s="331"/>
      <c r="E3" s="332"/>
    </row>
    <row r="4" spans="2:5">
      <c r="B4" s="84"/>
      <c r="C4" s="325"/>
      <c r="D4" s="325"/>
      <c r="E4" s="325"/>
    </row>
    <row r="5" spans="2:5">
      <c r="B5" s="83" t="s">
        <v>159</v>
      </c>
      <c r="C5" s="321" t="str">
        <f>general!C4</f>
        <v xml:space="preserve">Prior Year </v>
      </c>
      <c r="D5" s="214" t="str">
        <f>general!D4</f>
        <v xml:space="preserve">Current Year </v>
      </c>
      <c r="E5" s="214" t="str">
        <f>general!E4</f>
        <v xml:space="preserve">Proposed Budget </v>
      </c>
    </row>
    <row r="6" spans="2:5">
      <c r="B6" s="482" t="str">
        <f>inputPrYr!B51</f>
        <v>County Auto-Vehicle Dept (37)</v>
      </c>
      <c r="C6" s="313" t="str">
        <f>general!C5</f>
        <v>Actual for 2012</v>
      </c>
      <c r="D6" s="313" t="str">
        <f>general!D5</f>
        <v>Estimate for 2013</v>
      </c>
      <c r="E6" s="313" t="str">
        <f>general!E5</f>
        <v>Year for 2014</v>
      </c>
    </row>
    <row r="7" spans="2:5">
      <c r="B7" s="147" t="s">
        <v>278</v>
      </c>
      <c r="C7" s="111">
        <v>37754</v>
      </c>
      <c r="D7" s="263">
        <f>C30</f>
        <v>5562</v>
      </c>
      <c r="E7" s="263">
        <f>D30</f>
        <v>17277</v>
      </c>
    </row>
    <row r="8" spans="2:5">
      <c r="B8" s="334" t="s">
        <v>280</v>
      </c>
      <c r="C8" s="107"/>
      <c r="D8" s="107"/>
      <c r="E8" s="107"/>
    </row>
    <row r="9" spans="2:5">
      <c r="B9" s="316" t="s">
        <v>942</v>
      </c>
      <c r="C9" s="111">
        <v>221660</v>
      </c>
      <c r="D9" s="111">
        <v>225000</v>
      </c>
      <c r="E9" s="111">
        <v>226800</v>
      </c>
    </row>
    <row r="10" spans="2:5">
      <c r="B10" s="316" t="s">
        <v>1004</v>
      </c>
      <c r="C10" s="111">
        <v>3325</v>
      </c>
      <c r="D10" s="111">
        <f>3150+1750+3800+515+26000</f>
        <v>35215</v>
      </c>
      <c r="E10" s="111">
        <v>2100</v>
      </c>
    </row>
    <row r="11" spans="2:5">
      <c r="B11" s="316"/>
      <c r="C11" s="111"/>
      <c r="D11" s="111"/>
      <c r="E11" s="111"/>
    </row>
    <row r="12" spans="2:5">
      <c r="B12" s="306" t="s">
        <v>167</v>
      </c>
      <c r="C12" s="111"/>
      <c r="D12" s="111"/>
      <c r="E12" s="111"/>
    </row>
    <row r="13" spans="2:5">
      <c r="B13" s="307" t="s">
        <v>75</v>
      </c>
      <c r="C13" s="111"/>
      <c r="D13" s="302"/>
      <c r="E13" s="302"/>
    </row>
    <row r="14" spans="2:5">
      <c r="B14" s="307" t="s">
        <v>682</v>
      </c>
      <c r="C14" s="478" t="str">
        <f>IF(C15*0.1&lt;C13,"Exceed 10% Rule","")</f>
        <v/>
      </c>
      <c r="D14" s="308" t="str">
        <f>IF(D15*0.1&lt;D13,"Exceed 10% Rule","")</f>
        <v/>
      </c>
      <c r="E14" s="308" t="str">
        <f>IF(E15*0.1&lt;E13,"Exceed 10% Rule","")</f>
        <v/>
      </c>
    </row>
    <row r="15" spans="2:5">
      <c r="B15" s="309" t="s">
        <v>168</v>
      </c>
      <c r="C15" s="350">
        <f>SUM(C9:C13)</f>
        <v>224985</v>
      </c>
      <c r="D15" s="350">
        <f>SUM(D9:D13)</f>
        <v>260215</v>
      </c>
      <c r="E15" s="350">
        <f>SUM(E9:E13)</f>
        <v>228900</v>
      </c>
    </row>
    <row r="16" spans="2:5">
      <c r="B16" s="309" t="s">
        <v>169</v>
      </c>
      <c r="C16" s="350">
        <f>C15+C7</f>
        <v>262739</v>
      </c>
      <c r="D16" s="350">
        <f>D15+D7</f>
        <v>265777</v>
      </c>
      <c r="E16" s="350">
        <f>E15+E7</f>
        <v>246177</v>
      </c>
    </row>
    <row r="17" spans="2:5">
      <c r="B17" s="147" t="s">
        <v>172</v>
      </c>
      <c r="C17" s="263"/>
      <c r="D17" s="263"/>
      <c r="E17" s="263"/>
    </row>
    <row r="18" spans="2:5">
      <c r="B18" s="316" t="s">
        <v>985</v>
      </c>
      <c r="C18" s="111">
        <v>229470</v>
      </c>
      <c r="D18" s="111">
        <v>230000</v>
      </c>
      <c r="E18" s="111">
        <v>207538</v>
      </c>
    </row>
    <row r="19" spans="2:5">
      <c r="B19" s="316" t="s">
        <v>973</v>
      </c>
      <c r="C19" s="111">
        <v>2579</v>
      </c>
      <c r="D19" s="111">
        <v>3000</v>
      </c>
      <c r="E19" s="111">
        <v>3100</v>
      </c>
    </row>
    <row r="20" spans="2:5">
      <c r="B20" s="316" t="s">
        <v>974</v>
      </c>
      <c r="C20" s="111">
        <v>5515</v>
      </c>
      <c r="D20" s="111">
        <v>5000</v>
      </c>
      <c r="E20" s="111">
        <v>6700</v>
      </c>
    </row>
    <row r="21" spans="2:5">
      <c r="B21" s="316" t="s">
        <v>1005</v>
      </c>
      <c r="C21" s="111">
        <v>19613</v>
      </c>
      <c r="D21" s="111">
        <v>10500</v>
      </c>
      <c r="E21" s="111">
        <v>20000</v>
      </c>
    </row>
    <row r="22" spans="2:5">
      <c r="B22" s="316"/>
      <c r="C22" s="111"/>
      <c r="D22" s="111"/>
      <c r="E22" s="111"/>
    </row>
    <row r="23" spans="2:5">
      <c r="B23" s="316"/>
      <c r="C23" s="111"/>
      <c r="D23" s="111"/>
      <c r="E23" s="111"/>
    </row>
    <row r="24" spans="2:5">
      <c r="B24" s="316"/>
      <c r="C24" s="111"/>
      <c r="D24" s="111"/>
      <c r="E24" s="111"/>
    </row>
    <row r="25" spans="2:5">
      <c r="B25" s="316"/>
      <c r="C25" s="111"/>
      <c r="D25" s="111"/>
      <c r="E25" s="111"/>
    </row>
    <row r="26" spans="2:5">
      <c r="B26" s="316"/>
      <c r="C26" s="111"/>
      <c r="D26" s="111"/>
      <c r="E26" s="111"/>
    </row>
    <row r="27" spans="2:5">
      <c r="B27" s="307" t="s">
        <v>75</v>
      </c>
      <c r="C27" s="111"/>
      <c r="D27" s="302"/>
      <c r="E27" s="302"/>
    </row>
    <row r="28" spans="2:5">
      <c r="B28" s="307" t="s">
        <v>681</v>
      </c>
      <c r="C28" s="478" t="str">
        <f>IF(C29*0.1&lt;C27,"Exceed 10% Rule","")</f>
        <v/>
      </c>
      <c r="D28" s="308" t="str">
        <f>IF(D29*0.1&lt;D27,"Exceed 10% Rule","")</f>
        <v/>
      </c>
      <c r="E28" s="308" t="str">
        <f>IF(E29*0.1&lt;E27,"Exceed 10% Rule","")</f>
        <v/>
      </c>
    </row>
    <row r="29" spans="2:5">
      <c r="B29" s="309" t="s">
        <v>173</v>
      </c>
      <c r="C29" s="350">
        <f>SUM(C18:C27)</f>
        <v>257177</v>
      </c>
      <c r="D29" s="350">
        <f>SUM(D18:D27)</f>
        <v>248500</v>
      </c>
      <c r="E29" s="350">
        <f>SUM(E18:E27)</f>
        <v>237338</v>
      </c>
    </row>
    <row r="30" spans="2:5">
      <c r="B30" s="147" t="s">
        <v>279</v>
      </c>
      <c r="C30" s="119">
        <f>C16-C29</f>
        <v>5562</v>
      </c>
      <c r="D30" s="119">
        <f>D16-D29</f>
        <v>17277</v>
      </c>
      <c r="E30" s="119">
        <f>E16-E29</f>
        <v>8839</v>
      </c>
    </row>
    <row r="31" spans="2:5">
      <c r="B31" s="285" t="str">
        <f>CONCATENATE("",E$1-2,"/",E$1-1," Budget Authority Amount:")</f>
        <v>2012/2013 Budget Authority Amount:</v>
      </c>
      <c r="C31" s="277">
        <f>inputOth!B63</f>
        <v>248178</v>
      </c>
      <c r="D31" s="277">
        <f>inputPrYr!D51</f>
        <v>248178</v>
      </c>
      <c r="E31" s="477" t="str">
        <f>IF(E30&lt;0,"See Tab E","")</f>
        <v/>
      </c>
    </row>
    <row r="32" spans="2:5">
      <c r="B32" s="285"/>
      <c r="C32" s="319" t="str">
        <f>IF(C29&gt;C31,"See Tab A","")</f>
        <v>See Tab A</v>
      </c>
      <c r="D32" s="319" t="str">
        <f>IF(D29&gt;D31,"See Tab C","")</f>
        <v>See Tab C</v>
      </c>
      <c r="E32" s="144"/>
    </row>
    <row r="33" spans="2:5">
      <c r="B33" s="285"/>
      <c r="C33" s="319" t="str">
        <f>IF(C30&lt;0,"See Tab B","")</f>
        <v/>
      </c>
      <c r="D33" s="319" t="str">
        <f>IF(D30&lt;0,"See Tab D","")</f>
        <v/>
      </c>
      <c r="E33" s="144"/>
    </row>
    <row r="34" spans="2:5">
      <c r="B34" s="84"/>
      <c r="C34" s="144"/>
      <c r="D34" s="144"/>
      <c r="E34" s="144"/>
    </row>
    <row r="35" spans="2:5">
      <c r="B35" s="83" t="s">
        <v>159</v>
      </c>
      <c r="C35" s="325"/>
      <c r="D35" s="325"/>
      <c r="E35" s="325"/>
    </row>
    <row r="36" spans="2:5">
      <c r="B36" s="84"/>
      <c r="C36" s="321" t="str">
        <f t="shared" ref="C36:E37" si="0">C5</f>
        <v xml:space="preserve">Prior Year </v>
      </c>
      <c r="D36" s="214" t="str">
        <f t="shared" si="0"/>
        <v xml:space="preserve">Current Year </v>
      </c>
      <c r="E36" s="214" t="str">
        <f t="shared" si="0"/>
        <v xml:space="preserve">Proposed Budget </v>
      </c>
    </row>
    <row r="37" spans="2:5">
      <c r="B37" s="481" t="str">
        <f>inputPrYr!B52</f>
        <v>Prosecutor Training (38)</v>
      </c>
      <c r="C37" s="546" t="str">
        <f t="shared" si="0"/>
        <v>Actual for 2012</v>
      </c>
      <c r="D37" s="546" t="str">
        <f t="shared" si="0"/>
        <v>Estimate for 2013</v>
      </c>
      <c r="E37" s="546" t="str">
        <f t="shared" si="0"/>
        <v>Year for 2014</v>
      </c>
    </row>
    <row r="38" spans="2:5">
      <c r="B38" s="147" t="s">
        <v>278</v>
      </c>
      <c r="C38" s="111">
        <v>9039</v>
      </c>
      <c r="D38" s="263">
        <f>C61</f>
        <v>9456</v>
      </c>
      <c r="E38" s="263">
        <f>D61</f>
        <v>9456</v>
      </c>
    </row>
    <row r="39" spans="2:5">
      <c r="B39" s="147" t="s">
        <v>280</v>
      </c>
      <c r="C39" s="107"/>
      <c r="D39" s="107"/>
      <c r="E39" s="107"/>
    </row>
    <row r="40" spans="2:5">
      <c r="B40" s="316" t="s">
        <v>1006</v>
      </c>
      <c r="C40" s="111">
        <v>5645</v>
      </c>
      <c r="D40" s="111">
        <v>6000</v>
      </c>
      <c r="E40" s="111">
        <v>6000</v>
      </c>
    </row>
    <row r="41" spans="2:5">
      <c r="B41" s="316"/>
      <c r="C41" s="111"/>
      <c r="D41" s="111"/>
      <c r="E41" s="111"/>
    </row>
    <row r="42" spans="2:5">
      <c r="B42" s="316"/>
      <c r="C42" s="111"/>
      <c r="D42" s="111"/>
      <c r="E42" s="111"/>
    </row>
    <row r="43" spans="2:5">
      <c r="B43" s="306" t="s">
        <v>167</v>
      </c>
      <c r="C43" s="111"/>
      <c r="D43" s="111"/>
      <c r="E43" s="111"/>
    </row>
    <row r="44" spans="2:5">
      <c r="B44" s="307" t="s">
        <v>75</v>
      </c>
      <c r="C44" s="111"/>
      <c r="D44" s="302"/>
      <c r="E44" s="302"/>
    </row>
    <row r="45" spans="2:5">
      <c r="B45" s="307" t="s">
        <v>682</v>
      </c>
      <c r="C45" s="478" t="str">
        <f>IF(C46*0.1&lt;C44,"Exceed 10% Rule","")</f>
        <v/>
      </c>
      <c r="D45" s="308" t="str">
        <f>IF(D46*0.1&lt;D44,"Exceed 10% Rule","")</f>
        <v/>
      </c>
      <c r="E45" s="308" t="str">
        <f>IF(E46*0.1&lt;E44,"Exceed 10% Rule","")</f>
        <v/>
      </c>
    </row>
    <row r="46" spans="2:5">
      <c r="B46" s="309" t="s">
        <v>168</v>
      </c>
      <c r="C46" s="350">
        <f>SUM(C40:C44)</f>
        <v>5645</v>
      </c>
      <c r="D46" s="350">
        <f>SUM(D40:D44)</f>
        <v>6000</v>
      </c>
      <c r="E46" s="350">
        <f>SUM(E40:E44)</f>
        <v>6000</v>
      </c>
    </row>
    <row r="47" spans="2:5">
      <c r="B47" s="309" t="s">
        <v>169</v>
      </c>
      <c r="C47" s="350">
        <f>C38+C46</f>
        <v>14684</v>
      </c>
      <c r="D47" s="350">
        <f>D38+D46</f>
        <v>15456</v>
      </c>
      <c r="E47" s="350">
        <f>E38+E46</f>
        <v>15456</v>
      </c>
    </row>
    <row r="48" spans="2:5">
      <c r="B48" s="147" t="s">
        <v>172</v>
      </c>
      <c r="C48" s="263"/>
      <c r="D48" s="263"/>
      <c r="E48" s="263"/>
    </row>
    <row r="49" spans="2:5">
      <c r="B49" s="316" t="s">
        <v>1007</v>
      </c>
      <c r="C49" s="111">
        <v>5228</v>
      </c>
      <c r="D49" s="111">
        <v>6000</v>
      </c>
      <c r="E49" s="111">
        <v>6000</v>
      </c>
    </row>
    <row r="50" spans="2:5">
      <c r="B50" s="316"/>
      <c r="C50" s="111"/>
      <c r="D50" s="111"/>
      <c r="E50" s="111"/>
    </row>
    <row r="51" spans="2:5">
      <c r="B51" s="316"/>
      <c r="C51" s="111"/>
      <c r="D51" s="111"/>
      <c r="E51" s="111"/>
    </row>
    <row r="52" spans="2:5">
      <c r="B52" s="316"/>
      <c r="C52" s="111"/>
      <c r="D52" s="111"/>
      <c r="E52" s="111"/>
    </row>
    <row r="53" spans="2:5">
      <c r="B53" s="316"/>
      <c r="C53" s="111"/>
      <c r="D53" s="111"/>
      <c r="E53" s="111"/>
    </row>
    <row r="54" spans="2:5">
      <c r="B54" s="316"/>
      <c r="C54" s="111"/>
      <c r="D54" s="111"/>
      <c r="E54" s="111"/>
    </row>
    <row r="55" spans="2:5">
      <c r="B55" s="316"/>
      <c r="C55" s="111"/>
      <c r="D55" s="111"/>
      <c r="E55" s="111"/>
    </row>
    <row r="56" spans="2:5">
      <c r="B56" s="316"/>
      <c r="C56" s="111"/>
      <c r="D56" s="111"/>
      <c r="E56" s="111"/>
    </row>
    <row r="57" spans="2:5">
      <c r="B57" s="316"/>
      <c r="C57" s="111"/>
      <c r="D57" s="111"/>
      <c r="E57" s="111"/>
    </row>
    <row r="58" spans="2:5">
      <c r="B58" s="307" t="s">
        <v>75</v>
      </c>
      <c r="C58" s="111"/>
      <c r="D58" s="302"/>
      <c r="E58" s="302"/>
    </row>
    <row r="59" spans="2:5">
      <c r="B59" s="307" t="s">
        <v>681</v>
      </c>
      <c r="C59" s="478" t="str">
        <f>IF(C60*0.1&lt;C58,"Exceed 10% Rule","")</f>
        <v/>
      </c>
      <c r="D59" s="308" t="str">
        <f>IF(D60*0.1&lt;D58,"Exceed 10% Rule","")</f>
        <v/>
      </c>
      <c r="E59" s="308" t="str">
        <f>IF(E60*0.1&lt;E58,"Exceed 10% Rule","")</f>
        <v/>
      </c>
    </row>
    <row r="60" spans="2:5">
      <c r="B60" s="309" t="s">
        <v>173</v>
      </c>
      <c r="C60" s="350">
        <f>SUM(C49:C58)</f>
        <v>5228</v>
      </c>
      <c r="D60" s="350">
        <f>SUM(D49:D58)</f>
        <v>6000</v>
      </c>
      <c r="E60" s="350">
        <f>SUM(E49:E58)</f>
        <v>6000</v>
      </c>
    </row>
    <row r="61" spans="2:5">
      <c r="B61" s="147" t="s">
        <v>279</v>
      </c>
      <c r="C61" s="119">
        <f>C47-C60</f>
        <v>9456</v>
      </c>
      <c r="D61" s="119">
        <f>D47-D60</f>
        <v>9456</v>
      </c>
      <c r="E61" s="119">
        <f>E47-E60</f>
        <v>9456</v>
      </c>
    </row>
    <row r="62" spans="2:5">
      <c r="B62" s="285" t="str">
        <f>CONCATENATE("",E$1-2,"/",E$1-1," Budget Authority Amount:")</f>
        <v>2012/2013 Budget Authority Amount:</v>
      </c>
      <c r="C62" s="277">
        <f>inputOth!B64</f>
        <v>6000</v>
      </c>
      <c r="D62" s="277">
        <f>inputPrYr!D52</f>
        <v>6000</v>
      </c>
      <c r="E62" s="476" t="str">
        <f>IF(E61&lt;0,"See Tab E","")</f>
        <v/>
      </c>
    </row>
    <row r="63" spans="2:5">
      <c r="B63" s="285"/>
      <c r="C63" s="319" t="str">
        <f>IF(C60&gt;C62,"See Tab A","")</f>
        <v/>
      </c>
      <c r="D63" s="319" t="str">
        <f>IF(D60&gt;D62,"See Tab C","")</f>
        <v/>
      </c>
      <c r="E63" s="84"/>
    </row>
    <row r="64" spans="2:5">
      <c r="B64" s="285"/>
      <c r="C64" s="319" t="str">
        <f>IF(C61&lt;0,"See Tab B","")</f>
        <v/>
      </c>
      <c r="D64" s="319" t="str">
        <f>IF(D61&lt;0,"See Tab D","")</f>
        <v/>
      </c>
      <c r="E64" s="84"/>
    </row>
    <row r="65" spans="2:5">
      <c r="B65" s="84"/>
      <c r="C65" s="84"/>
      <c r="D65" s="84"/>
      <c r="E65" s="84"/>
    </row>
    <row r="66" spans="2:5">
      <c r="B66" s="285" t="s">
        <v>188</v>
      </c>
      <c r="C66" s="347">
        <v>20</v>
      </c>
      <c r="D66" s="84"/>
      <c r="E66" s="84"/>
    </row>
  </sheetData>
  <sheetProtection sheet="1"/>
  <phoneticPr fontId="0" type="noConversion"/>
  <conditionalFormatting sqref="C27">
    <cfRule type="cellIs" dxfId="74" priority="2" stopIfTrue="1" operator="greaterThan">
      <formula>$C$29*0.1</formula>
    </cfRule>
  </conditionalFormatting>
  <conditionalFormatting sqref="D27">
    <cfRule type="cellIs" dxfId="73" priority="3" stopIfTrue="1" operator="greaterThan">
      <formula>$D$29*0.1</formula>
    </cfRule>
  </conditionalFormatting>
  <conditionalFormatting sqref="E27">
    <cfRule type="cellIs" dxfId="72" priority="4" stopIfTrue="1" operator="greaterThan">
      <formula>$E$29*0.1</formula>
    </cfRule>
  </conditionalFormatting>
  <conditionalFormatting sqref="C13">
    <cfRule type="cellIs" dxfId="71" priority="5" stopIfTrue="1" operator="greaterThan">
      <formula>$C$15*0.1</formula>
    </cfRule>
  </conditionalFormatting>
  <conditionalFormatting sqref="D13">
    <cfRule type="cellIs" dxfId="70" priority="6" stopIfTrue="1" operator="greaterThan">
      <formula>$D$15*0.1</formula>
    </cfRule>
  </conditionalFormatting>
  <conditionalFormatting sqref="E13">
    <cfRule type="cellIs" dxfId="69" priority="7" stopIfTrue="1" operator="greaterThan">
      <formula>$E$15*0.1</formula>
    </cfRule>
  </conditionalFormatting>
  <conditionalFormatting sqref="C44">
    <cfRule type="cellIs" dxfId="68" priority="8" stopIfTrue="1" operator="greaterThan">
      <formula>$C$46*0.1</formula>
    </cfRule>
  </conditionalFormatting>
  <conditionalFormatting sqref="D44">
    <cfRule type="cellIs" dxfId="67" priority="9" stopIfTrue="1" operator="greaterThan">
      <formula>$D$46*0.1</formula>
    </cfRule>
  </conditionalFormatting>
  <conditionalFormatting sqref="E44">
    <cfRule type="cellIs" dxfId="66" priority="10" stopIfTrue="1" operator="greaterThan">
      <formula>$E$46*0.1</formula>
    </cfRule>
  </conditionalFormatting>
  <conditionalFormatting sqref="C58">
    <cfRule type="cellIs" dxfId="65" priority="11" stopIfTrue="1" operator="greaterThan">
      <formula>$C$60*0.1</formula>
    </cfRule>
  </conditionalFormatting>
  <conditionalFormatting sqref="D58">
    <cfRule type="cellIs" dxfId="64" priority="12" stopIfTrue="1" operator="greaterThan">
      <formula>$D$60*0.1</formula>
    </cfRule>
  </conditionalFormatting>
  <conditionalFormatting sqref="E58">
    <cfRule type="cellIs" dxfId="63" priority="13" stopIfTrue="1" operator="greaterThan">
      <formula>$E$60*0.1</formula>
    </cfRule>
  </conditionalFormatting>
  <conditionalFormatting sqref="E30 C30 E61 C61">
    <cfRule type="cellIs" dxfId="62" priority="14" stopIfTrue="1" operator="lessThan">
      <formula>0</formula>
    </cfRule>
  </conditionalFormatting>
  <conditionalFormatting sqref="D29">
    <cfRule type="cellIs" dxfId="61" priority="15" stopIfTrue="1" operator="greaterThan">
      <formula>$D$31</formula>
    </cfRule>
  </conditionalFormatting>
  <conditionalFormatting sqref="C29">
    <cfRule type="cellIs" dxfId="60" priority="16" stopIfTrue="1" operator="greaterThan">
      <formula>$C$31</formula>
    </cfRule>
  </conditionalFormatting>
  <conditionalFormatting sqref="D60">
    <cfRule type="cellIs" dxfId="59" priority="17" stopIfTrue="1" operator="greaterThan">
      <formula>$D$62</formula>
    </cfRule>
  </conditionalFormatting>
  <conditionalFormatting sqref="C60">
    <cfRule type="cellIs" dxfId="58" priority="18" stopIfTrue="1" operator="greaterThan">
      <formula>$C$62</formula>
    </cfRule>
  </conditionalFormatting>
  <conditionalFormatting sqref="D30">
    <cfRule type="cellIs" dxfId="57" priority="1" stopIfTrue="1" operator="lessThan">
      <formula>0</formula>
    </cfRule>
  </conditionalFormatting>
  <pageMargins left="1.1200000000000001" right="0.5" top="0.74" bottom="0.34" header="0.5" footer="0"/>
  <pageSetup scale="70" orientation="portrait" blackAndWhite="1" horizontalDpi="120" verticalDpi="144" r:id="rId1"/>
  <headerFooter alignWithMargins="0">
    <oddHeader xml:space="preserve">&amp;RState of Kansas
County
</oddHeader>
  </headerFooter>
</worksheet>
</file>

<file path=xl/worksheets/sheet34.xml><?xml version="1.0" encoding="utf-8"?>
<worksheet xmlns="http://schemas.openxmlformats.org/spreadsheetml/2006/main" xmlns:r="http://schemas.openxmlformats.org/officeDocument/2006/relationships">
  <sheetPr codeName="Sheet29"/>
  <dimension ref="B1:E67"/>
  <sheetViews>
    <sheetView workbookViewId="0">
      <selection activeCell="B53" sqref="B53"/>
    </sheetView>
  </sheetViews>
  <sheetFormatPr defaultRowHeight="15.75"/>
  <cols>
    <col min="1" max="1" width="2.44140625" style="71" customWidth="1"/>
    <col min="2" max="2" width="31.109375" style="71" customWidth="1"/>
    <col min="3" max="4" width="15.77734375" style="71" customWidth="1"/>
    <col min="5" max="5" width="16.109375" style="71" customWidth="1"/>
    <col min="6" max="16384" width="8.88671875" style="71"/>
  </cols>
  <sheetData>
    <row r="1" spans="2:5">
      <c r="B1" s="226" t="str">
        <f>(inputPrYr!C2)</f>
        <v>Lyon County</v>
      </c>
      <c r="C1" s="84"/>
      <c r="D1" s="84"/>
      <c r="E1" s="284">
        <f>inputPrYr!C4</f>
        <v>2014</v>
      </c>
    </row>
    <row r="2" spans="2:5">
      <c r="B2" s="84"/>
      <c r="C2" s="84"/>
      <c r="D2" s="84"/>
      <c r="E2" s="238"/>
    </row>
    <row r="3" spans="2:5">
      <c r="B3" s="151" t="s">
        <v>237</v>
      </c>
      <c r="C3" s="331"/>
      <c r="D3" s="331"/>
      <c r="E3" s="332"/>
    </row>
    <row r="4" spans="2:5">
      <c r="B4" s="84"/>
      <c r="C4" s="325"/>
      <c r="D4" s="325"/>
      <c r="E4" s="325"/>
    </row>
    <row r="5" spans="2:5">
      <c r="B5" s="83" t="s">
        <v>159</v>
      </c>
      <c r="C5" s="321" t="str">
        <f>general!C4</f>
        <v xml:space="preserve">Prior Year </v>
      </c>
      <c r="D5" s="214" t="str">
        <f>general!D4</f>
        <v xml:space="preserve">Current Year </v>
      </c>
      <c r="E5" s="214" t="str">
        <f>general!E4</f>
        <v xml:space="preserve">Proposed Budget </v>
      </c>
    </row>
    <row r="6" spans="2:5">
      <c r="B6" s="482" t="str">
        <f>inputPrYr!B53</f>
        <v>Courthouse Bond &amp; Interest (44)</v>
      </c>
      <c r="C6" s="313" t="str">
        <f>general!C5</f>
        <v>Actual for 2012</v>
      </c>
      <c r="D6" s="313" t="str">
        <f>general!D5</f>
        <v>Estimate for 2013</v>
      </c>
      <c r="E6" s="300" t="str">
        <f>general!E5</f>
        <v>Year for 2014</v>
      </c>
    </row>
    <row r="7" spans="2:5">
      <c r="B7" s="147" t="s">
        <v>278</v>
      </c>
      <c r="C7" s="111">
        <v>0</v>
      </c>
      <c r="D7" s="263">
        <f>C31</f>
        <v>0</v>
      </c>
      <c r="E7" s="263">
        <f>D31</f>
        <v>0</v>
      </c>
    </row>
    <row r="8" spans="2:5">
      <c r="B8" s="334" t="s">
        <v>280</v>
      </c>
      <c r="C8" s="107"/>
      <c r="D8" s="107"/>
      <c r="E8" s="107"/>
    </row>
    <row r="9" spans="2:5">
      <c r="B9" s="316" t="s">
        <v>1094</v>
      </c>
      <c r="C9" s="111">
        <v>0</v>
      </c>
      <c r="D9" s="111">
        <v>0</v>
      </c>
      <c r="E9" s="111">
        <v>0</v>
      </c>
    </row>
    <row r="10" spans="2:5">
      <c r="B10" s="316" t="s">
        <v>1008</v>
      </c>
      <c r="C10" s="111">
        <v>0</v>
      </c>
      <c r="D10" s="111"/>
      <c r="E10" s="111"/>
    </row>
    <row r="11" spans="2:5">
      <c r="B11" s="316" t="s">
        <v>1095</v>
      </c>
      <c r="C11" s="111">
        <v>0</v>
      </c>
      <c r="D11" s="111"/>
      <c r="E11" s="111"/>
    </row>
    <row r="12" spans="2:5">
      <c r="B12" s="316" t="s">
        <v>1096</v>
      </c>
      <c r="C12" s="111">
        <v>0</v>
      </c>
      <c r="D12" s="111"/>
      <c r="E12" s="111"/>
    </row>
    <row r="13" spans="2:5">
      <c r="B13" s="306" t="s">
        <v>167</v>
      </c>
      <c r="C13" s="111">
        <v>0</v>
      </c>
      <c r="D13" s="111"/>
      <c r="E13" s="111"/>
    </row>
    <row r="14" spans="2:5">
      <c r="B14" s="307" t="s">
        <v>75</v>
      </c>
      <c r="C14" s="111"/>
      <c r="D14" s="302"/>
      <c r="E14" s="302"/>
    </row>
    <row r="15" spans="2:5">
      <c r="B15" s="307" t="s">
        <v>682</v>
      </c>
      <c r="C15" s="478" t="str">
        <f>IF(C16*0.1&lt;C14,"Exceed 10% Rule","")</f>
        <v/>
      </c>
      <c r="D15" s="308" t="str">
        <f>IF(D16*0.1&lt;D14,"Exceed 10% Rule","")</f>
        <v/>
      </c>
      <c r="E15" s="308" t="str">
        <f>IF(E16*0.1&lt;E14,"Exceed 10% Rule","")</f>
        <v/>
      </c>
    </row>
    <row r="16" spans="2:5">
      <c r="B16" s="309" t="s">
        <v>168</v>
      </c>
      <c r="C16" s="350">
        <f>SUM(C9:C14)</f>
        <v>0</v>
      </c>
      <c r="D16" s="350">
        <f>SUM(D9:D14)</f>
        <v>0</v>
      </c>
      <c r="E16" s="350">
        <f>SUM(E9:E14)</f>
        <v>0</v>
      </c>
    </row>
    <row r="17" spans="2:5">
      <c r="B17" s="309" t="s">
        <v>169</v>
      </c>
      <c r="C17" s="350">
        <f>C16+C7</f>
        <v>0</v>
      </c>
      <c r="D17" s="350">
        <f>D16+D7</f>
        <v>0</v>
      </c>
      <c r="E17" s="350">
        <f>E16+E7</f>
        <v>0</v>
      </c>
    </row>
    <row r="18" spans="2:5">
      <c r="B18" s="147" t="s">
        <v>172</v>
      </c>
      <c r="C18" s="263"/>
      <c r="D18" s="263"/>
      <c r="E18" s="263"/>
    </row>
    <row r="19" spans="2:5">
      <c r="B19" s="316" t="s">
        <v>1009</v>
      </c>
      <c r="C19" s="111">
        <v>0</v>
      </c>
      <c r="D19" s="111">
        <v>0</v>
      </c>
      <c r="E19" s="111">
        <v>0</v>
      </c>
    </row>
    <row r="20" spans="2:5">
      <c r="B20" s="316" t="s">
        <v>1010</v>
      </c>
      <c r="C20" s="111">
        <v>0</v>
      </c>
      <c r="D20" s="111"/>
      <c r="E20" s="111"/>
    </row>
    <row r="21" spans="2:5">
      <c r="B21" s="316" t="s">
        <v>1011</v>
      </c>
      <c r="C21" s="111">
        <v>0</v>
      </c>
      <c r="D21" s="111"/>
      <c r="E21" s="111"/>
    </row>
    <row r="22" spans="2:5">
      <c r="B22" s="316" t="s">
        <v>1005</v>
      </c>
      <c r="C22" s="111">
        <v>0</v>
      </c>
      <c r="D22" s="111"/>
      <c r="E22" s="111"/>
    </row>
    <row r="23" spans="2:5">
      <c r="B23" s="316"/>
      <c r="C23" s="111"/>
      <c r="D23" s="111"/>
      <c r="E23" s="111"/>
    </row>
    <row r="24" spans="2:5" hidden="1">
      <c r="B24" s="316"/>
      <c r="C24" s="111"/>
      <c r="D24" s="111"/>
      <c r="E24" s="111"/>
    </row>
    <row r="25" spans="2:5">
      <c r="B25" s="316"/>
      <c r="C25" s="111"/>
      <c r="D25" s="111"/>
      <c r="E25" s="111"/>
    </row>
    <row r="26" spans="2:5">
      <c r="B26" s="316"/>
      <c r="C26" s="111"/>
      <c r="D26" s="111"/>
      <c r="E26" s="111"/>
    </row>
    <row r="27" spans="2:5">
      <c r="B27" s="316"/>
      <c r="C27" s="111"/>
      <c r="D27" s="111"/>
      <c r="E27" s="111"/>
    </row>
    <row r="28" spans="2:5">
      <c r="B28" s="307" t="s">
        <v>75</v>
      </c>
      <c r="C28" s="111"/>
      <c r="D28" s="302"/>
      <c r="E28" s="302"/>
    </row>
    <row r="29" spans="2:5">
      <c r="B29" s="307" t="s">
        <v>681</v>
      </c>
      <c r="C29" s="478" t="str">
        <f>IF(C30*0.1&lt;C28,"Exceed 10% Rule","")</f>
        <v/>
      </c>
      <c r="D29" s="308" t="str">
        <f>IF(D30*0.1&lt;D28,"Exceed 10% Rule","")</f>
        <v/>
      </c>
      <c r="E29" s="308" t="str">
        <f>IF(E30*0.1&lt;E28,"Exceed 10% Rule","")</f>
        <v/>
      </c>
    </row>
    <row r="30" spans="2:5">
      <c r="B30" s="309" t="s">
        <v>173</v>
      </c>
      <c r="C30" s="350">
        <f>SUM(C19:C28)</f>
        <v>0</v>
      </c>
      <c r="D30" s="350">
        <f>SUM(D19:D28)</f>
        <v>0</v>
      </c>
      <c r="E30" s="350">
        <f>SUM(E19:E28)</f>
        <v>0</v>
      </c>
    </row>
    <row r="31" spans="2:5">
      <c r="B31" s="147" t="s">
        <v>279</v>
      </c>
      <c r="C31" s="119">
        <f>C17-C30</f>
        <v>0</v>
      </c>
      <c r="D31" s="119">
        <f>D17-D30</f>
        <v>0</v>
      </c>
      <c r="E31" s="119">
        <f>E17-E30</f>
        <v>0</v>
      </c>
    </row>
    <row r="32" spans="2:5">
      <c r="B32" s="285" t="str">
        <f>CONCATENATE("",E$1-2,"/",E$1-1," Budget Authority Amount:")</f>
        <v>2012/2013 Budget Authority Amount:</v>
      </c>
      <c r="C32" s="277">
        <f>inputOth!B65</f>
        <v>0</v>
      </c>
      <c r="D32" s="277">
        <f>inputPrYr!D53</f>
        <v>0</v>
      </c>
      <c r="E32" s="477" t="str">
        <f>IF(E31&lt;0,"See Tab E","")</f>
        <v/>
      </c>
    </row>
    <row r="33" spans="2:5">
      <c r="B33" s="285"/>
      <c r="C33" s="319" t="str">
        <f>IF(C30&gt;C32,"See Tab A","")</f>
        <v/>
      </c>
      <c r="D33" s="319" t="str">
        <f>IF(D30&gt;D32,"See Tab C","")</f>
        <v/>
      </c>
      <c r="E33" s="144"/>
    </row>
    <row r="34" spans="2:5">
      <c r="B34" s="285"/>
      <c r="C34" s="319" t="str">
        <f>IF(C31&lt;0,"See Tab B","")</f>
        <v/>
      </c>
      <c r="D34" s="319" t="str">
        <f>IF(D31&lt;0,"See Tab D","")</f>
        <v/>
      </c>
      <c r="E34" s="144"/>
    </row>
    <row r="35" spans="2:5">
      <c r="B35" s="84"/>
      <c r="C35" s="144"/>
      <c r="D35" s="144"/>
      <c r="E35" s="144"/>
    </row>
    <row r="36" spans="2:5">
      <c r="B36" s="83" t="s">
        <v>159</v>
      </c>
      <c r="C36" s="325"/>
      <c r="D36" s="325"/>
      <c r="E36" s="325"/>
    </row>
    <row r="37" spans="2:5">
      <c r="B37" s="84"/>
      <c r="C37" s="321" t="str">
        <f t="shared" ref="C37:E38" si="0">C5</f>
        <v xml:space="preserve">Prior Year </v>
      </c>
      <c r="D37" s="214" t="str">
        <f t="shared" si="0"/>
        <v xml:space="preserve">Current Year </v>
      </c>
      <c r="E37" s="214" t="str">
        <f t="shared" si="0"/>
        <v xml:space="preserve">Proposed Budget </v>
      </c>
    </row>
    <row r="38" spans="2:5">
      <c r="B38" s="482" t="str">
        <f>inputPrYr!B54</f>
        <v>Sales Tax Revenue (46)</v>
      </c>
      <c r="C38" s="313" t="str">
        <f t="shared" si="0"/>
        <v>Actual for 2012</v>
      </c>
      <c r="D38" s="313" t="str">
        <f t="shared" si="0"/>
        <v>Estimate for 2013</v>
      </c>
      <c r="E38" s="300" t="str">
        <f t="shared" si="0"/>
        <v>Year for 2014</v>
      </c>
    </row>
    <row r="39" spans="2:5">
      <c r="B39" s="147" t="s">
        <v>278</v>
      </c>
      <c r="C39" s="111">
        <v>0</v>
      </c>
      <c r="D39" s="263">
        <f>C62</f>
        <v>0</v>
      </c>
      <c r="E39" s="263">
        <f>D62</f>
        <v>0</v>
      </c>
    </row>
    <row r="40" spans="2:5">
      <c r="B40" s="334" t="s">
        <v>280</v>
      </c>
      <c r="C40" s="107"/>
      <c r="D40" s="107"/>
      <c r="E40" s="107"/>
    </row>
    <row r="41" spans="2:5">
      <c r="B41" s="316" t="s">
        <v>1012</v>
      </c>
      <c r="C41" s="111"/>
      <c r="D41" s="111">
        <v>0</v>
      </c>
      <c r="E41" s="111">
        <v>0</v>
      </c>
    </row>
    <row r="42" spans="2:5">
      <c r="B42" s="316"/>
      <c r="C42" s="111"/>
      <c r="D42" s="111"/>
      <c r="E42" s="111"/>
    </row>
    <row r="43" spans="2:5">
      <c r="B43" s="316"/>
      <c r="C43" s="111"/>
      <c r="D43" s="111"/>
      <c r="E43" s="111"/>
    </row>
    <row r="44" spans="2:5">
      <c r="B44" s="306" t="s">
        <v>167</v>
      </c>
      <c r="C44" s="111"/>
      <c r="D44" s="111"/>
      <c r="E44" s="111"/>
    </row>
    <row r="45" spans="2:5">
      <c r="B45" s="307" t="s">
        <v>75</v>
      </c>
      <c r="C45" s="111"/>
      <c r="D45" s="302"/>
      <c r="E45" s="302"/>
    </row>
    <row r="46" spans="2:5">
      <c r="B46" s="307" t="s">
        <v>682</v>
      </c>
      <c r="C46" s="478" t="str">
        <f>IF(C47*0.1&lt;C45,"Exceed 10% Rule","")</f>
        <v/>
      </c>
      <c r="D46" s="308" t="str">
        <f>IF(D47*0.1&lt;D45,"Exceed 10% Rule","")</f>
        <v/>
      </c>
      <c r="E46" s="308" t="str">
        <f>IF(E47*0.1&lt;E45,"Exceed 10% Rule","")</f>
        <v/>
      </c>
    </row>
    <row r="47" spans="2:5">
      <c r="B47" s="309" t="s">
        <v>168</v>
      </c>
      <c r="C47" s="350">
        <f>SUM(C41:C45)</f>
        <v>0</v>
      </c>
      <c r="D47" s="350">
        <f>SUM(D41:D45)</f>
        <v>0</v>
      </c>
      <c r="E47" s="350">
        <f>SUM(E41:E45)</f>
        <v>0</v>
      </c>
    </row>
    <row r="48" spans="2:5">
      <c r="B48" s="309" t="s">
        <v>169</v>
      </c>
      <c r="C48" s="350">
        <f>C39+C47</f>
        <v>0</v>
      </c>
      <c r="D48" s="350">
        <f>D39+D47</f>
        <v>0</v>
      </c>
      <c r="E48" s="350">
        <f>E39+E47</f>
        <v>0</v>
      </c>
    </row>
    <row r="49" spans="2:5">
      <c r="B49" s="147" t="s">
        <v>172</v>
      </c>
      <c r="C49" s="263"/>
      <c r="D49" s="263"/>
      <c r="E49" s="263"/>
    </row>
    <row r="50" spans="2:5">
      <c r="B50" s="316" t="s">
        <v>1097</v>
      </c>
      <c r="C50" s="111"/>
      <c r="D50" s="111">
        <v>0</v>
      </c>
      <c r="E50" s="111">
        <v>0</v>
      </c>
    </row>
    <row r="51" spans="2:5">
      <c r="B51" s="316" t="s">
        <v>1098</v>
      </c>
      <c r="C51" s="111"/>
      <c r="D51" s="111"/>
      <c r="E51" s="111"/>
    </row>
    <row r="52" spans="2:5">
      <c r="B52" s="316"/>
      <c r="C52" s="111"/>
      <c r="D52" s="111"/>
      <c r="E52" s="111"/>
    </row>
    <row r="53" spans="2:5">
      <c r="B53" s="316"/>
      <c r="C53" s="111"/>
      <c r="D53" s="111"/>
      <c r="E53" s="111"/>
    </row>
    <row r="54" spans="2:5" hidden="1">
      <c r="B54" s="316"/>
      <c r="C54" s="111"/>
      <c r="D54" s="111"/>
      <c r="E54" s="111"/>
    </row>
    <row r="55" spans="2:5" hidden="1">
      <c r="B55" s="316"/>
      <c r="C55" s="111"/>
      <c r="D55" s="111"/>
      <c r="E55" s="111"/>
    </row>
    <row r="56" spans="2:5" hidden="1">
      <c r="B56" s="316"/>
      <c r="C56" s="111"/>
      <c r="D56" s="111"/>
      <c r="E56" s="111"/>
    </row>
    <row r="57" spans="2:5">
      <c r="B57" s="316"/>
      <c r="C57" s="111"/>
      <c r="D57" s="111"/>
      <c r="E57" s="111"/>
    </row>
    <row r="58" spans="2:5">
      <c r="B58" s="316"/>
      <c r="C58" s="111"/>
      <c r="D58" s="111"/>
      <c r="E58" s="111"/>
    </row>
    <row r="59" spans="2:5">
      <c r="B59" s="307" t="s">
        <v>75</v>
      </c>
      <c r="C59" s="111"/>
      <c r="D59" s="302"/>
      <c r="E59" s="302"/>
    </row>
    <row r="60" spans="2:5">
      <c r="B60" s="307" t="s">
        <v>681</v>
      </c>
      <c r="C60" s="478" t="str">
        <f>IF(C61*0.1&lt;C59,"Exceed 10% Rule","")</f>
        <v/>
      </c>
      <c r="D60" s="308" t="str">
        <f>IF(D61*0.1&lt;D59,"Exceed 10% Rule","")</f>
        <v/>
      </c>
      <c r="E60" s="308" t="str">
        <f>IF(E61*0.1&lt;E59,"Exceed 10% Rule","")</f>
        <v/>
      </c>
    </row>
    <row r="61" spans="2:5">
      <c r="B61" s="309" t="s">
        <v>173</v>
      </c>
      <c r="C61" s="350">
        <f>SUM(C50:C59)</f>
        <v>0</v>
      </c>
      <c r="D61" s="350">
        <f>SUM(D50:D59)</f>
        <v>0</v>
      </c>
      <c r="E61" s="350">
        <f>SUM(E50:E59)</f>
        <v>0</v>
      </c>
    </row>
    <row r="62" spans="2:5">
      <c r="B62" s="147" t="s">
        <v>279</v>
      </c>
      <c r="C62" s="119">
        <f>C48-C61</f>
        <v>0</v>
      </c>
      <c r="D62" s="119">
        <f>D48-D61</f>
        <v>0</v>
      </c>
      <c r="E62" s="119">
        <f>E48-E61</f>
        <v>0</v>
      </c>
    </row>
    <row r="63" spans="2:5">
      <c r="B63" s="285" t="str">
        <f>CONCATENATE("",E$1-2,"/",E$1-1," Budget Authority Amount:")</f>
        <v>2012/2013 Budget Authority Amount:</v>
      </c>
      <c r="C63" s="277">
        <f>inputOth!B66</f>
        <v>0</v>
      </c>
      <c r="D63" s="277">
        <f>inputPrYr!D54</f>
        <v>0</v>
      </c>
      <c r="E63" s="476" t="str">
        <f>IF(E62&lt;0,"See Tab E","")</f>
        <v/>
      </c>
    </row>
    <row r="64" spans="2:5">
      <c r="B64" s="285"/>
      <c r="C64" s="319" t="str">
        <f>IF(C61&gt;C63,"See Tab A","")</f>
        <v/>
      </c>
      <c r="D64" s="319" t="str">
        <f>IF(D61&gt;D63,"See Tab C","")</f>
        <v/>
      </c>
      <c r="E64" s="84"/>
    </row>
    <row r="65" spans="2:5">
      <c r="B65" s="285"/>
      <c r="C65" s="319" t="str">
        <f>IF(C62&lt;0,"See Tab B","")</f>
        <v/>
      </c>
      <c r="D65" s="319" t="str">
        <f>IF(D62&lt;0,"See Tab D","")</f>
        <v/>
      </c>
      <c r="E65" s="84"/>
    </row>
    <row r="66" spans="2:5">
      <c r="B66" s="84"/>
      <c r="C66" s="84"/>
      <c r="D66" s="84"/>
      <c r="E66" s="84"/>
    </row>
    <row r="67" spans="2:5">
      <c r="B67" s="285" t="s">
        <v>188</v>
      </c>
      <c r="C67" s="347">
        <v>21</v>
      </c>
      <c r="D67" s="84"/>
      <c r="E67" s="84"/>
    </row>
  </sheetData>
  <phoneticPr fontId="8" type="noConversion"/>
  <conditionalFormatting sqref="C28">
    <cfRule type="cellIs" dxfId="56" priority="3" stopIfTrue="1" operator="greaterThan">
      <formula>$C$30*0.1</formula>
    </cfRule>
  </conditionalFormatting>
  <conditionalFormatting sqref="D28">
    <cfRule type="cellIs" dxfId="55" priority="4" stopIfTrue="1" operator="greaterThan">
      <formula>$D$30*0.1</formula>
    </cfRule>
  </conditionalFormatting>
  <conditionalFormatting sqref="E28">
    <cfRule type="cellIs" dxfId="54" priority="5" stopIfTrue="1" operator="greaterThan">
      <formula>$E$30*0.1</formula>
    </cfRule>
  </conditionalFormatting>
  <conditionalFormatting sqref="C14">
    <cfRule type="cellIs" dxfId="53" priority="6" stopIfTrue="1" operator="greaterThan">
      <formula>$C$16*0.1</formula>
    </cfRule>
  </conditionalFormatting>
  <conditionalFormatting sqref="D14">
    <cfRule type="cellIs" dxfId="52" priority="7" stopIfTrue="1" operator="greaterThan">
      <formula>$D$16*0.1</formula>
    </cfRule>
  </conditionalFormatting>
  <conditionalFormatting sqref="E14">
    <cfRule type="cellIs" dxfId="51" priority="8" stopIfTrue="1" operator="greaterThan">
      <formula>$E$16*0.1</formula>
    </cfRule>
  </conditionalFormatting>
  <conditionalFormatting sqref="C45">
    <cfRule type="cellIs" dxfId="50" priority="9" stopIfTrue="1" operator="greaterThan">
      <formula>$C$47*0.1</formula>
    </cfRule>
  </conditionalFormatting>
  <conditionalFormatting sqref="D45">
    <cfRule type="cellIs" dxfId="49" priority="10" stopIfTrue="1" operator="greaterThan">
      <formula>$D$47*0.1</formula>
    </cfRule>
  </conditionalFormatting>
  <conditionalFormatting sqref="E45">
    <cfRule type="cellIs" dxfId="48" priority="11" stopIfTrue="1" operator="greaterThan">
      <formula>$E$47*0.1</formula>
    </cfRule>
  </conditionalFormatting>
  <conditionalFormatting sqref="C59">
    <cfRule type="cellIs" dxfId="47" priority="12" stopIfTrue="1" operator="greaterThan">
      <formula>$C$61*0.1</formula>
    </cfRule>
  </conditionalFormatting>
  <conditionalFormatting sqref="D59">
    <cfRule type="cellIs" dxfId="46" priority="13" stopIfTrue="1" operator="greaterThan">
      <formula>$D$61*0.1</formula>
    </cfRule>
  </conditionalFormatting>
  <conditionalFormatting sqref="E59">
    <cfRule type="cellIs" dxfId="45" priority="14" stopIfTrue="1" operator="greaterThan">
      <formula>$E$61*0.1</formula>
    </cfRule>
  </conditionalFormatting>
  <conditionalFormatting sqref="E31 C31 E62 C62">
    <cfRule type="cellIs" dxfId="44" priority="15" stopIfTrue="1" operator="lessThan">
      <formula>0</formula>
    </cfRule>
  </conditionalFormatting>
  <conditionalFormatting sqref="D30">
    <cfRule type="cellIs" dxfId="43" priority="16" stopIfTrue="1" operator="greaterThan">
      <formula>$D$32</formula>
    </cfRule>
  </conditionalFormatting>
  <conditionalFormatting sqref="C30">
    <cfRule type="cellIs" dxfId="42" priority="17" stopIfTrue="1" operator="greaterThan">
      <formula>$C$32</formula>
    </cfRule>
  </conditionalFormatting>
  <conditionalFormatting sqref="D61">
    <cfRule type="cellIs" dxfId="41" priority="18" stopIfTrue="1" operator="greaterThan">
      <formula>$D$63</formula>
    </cfRule>
  </conditionalFormatting>
  <conditionalFormatting sqref="C61">
    <cfRule type="cellIs" dxfId="40" priority="19" stopIfTrue="1" operator="greaterThan">
      <formula>$C$63</formula>
    </cfRule>
  </conditionalFormatting>
  <conditionalFormatting sqref="D31">
    <cfRule type="cellIs" dxfId="39" priority="2" stopIfTrue="1" operator="lessThan">
      <formula>0</formula>
    </cfRule>
  </conditionalFormatting>
  <conditionalFormatting sqref="D62">
    <cfRule type="cellIs" dxfId="38" priority="1" stopIfTrue="1" operator="lessThan">
      <formula>0</formula>
    </cfRule>
  </conditionalFormatting>
  <pageMargins left="0.75" right="0.75" top="0.74" bottom="0.61" header="0.36" footer="0.39"/>
  <pageSetup scale="70" orientation="portrait" blackAndWhite="1" r:id="rId1"/>
  <headerFooter alignWithMargins="0">
    <oddHeader>&amp;RState of Kansas
County</oddHeader>
  </headerFooter>
</worksheet>
</file>

<file path=xl/worksheets/sheet35.xml><?xml version="1.0" encoding="utf-8"?>
<worksheet xmlns="http://schemas.openxmlformats.org/spreadsheetml/2006/main" xmlns:r="http://schemas.openxmlformats.org/officeDocument/2006/relationships">
  <sheetPr codeName="Sheet30">
    <pageSetUpPr fitToPage="1"/>
  </sheetPr>
  <dimension ref="B1:E66"/>
  <sheetViews>
    <sheetView topLeftCell="A28" workbookViewId="0">
      <selection activeCell="C8" sqref="C8"/>
    </sheetView>
  </sheetViews>
  <sheetFormatPr defaultRowHeight="15.75"/>
  <cols>
    <col min="1" max="1" width="2.44140625" style="71" customWidth="1"/>
    <col min="2" max="2" width="31.109375" style="71" customWidth="1"/>
    <col min="3" max="4" width="15.77734375" style="71" customWidth="1"/>
    <col min="5" max="5" width="16.21875" style="71" customWidth="1"/>
    <col min="6" max="16384" width="8.88671875" style="71"/>
  </cols>
  <sheetData>
    <row r="1" spans="2:5">
      <c r="B1" s="226" t="str">
        <f>(inputPrYr!C2)</f>
        <v>Lyon County</v>
      </c>
      <c r="C1" s="84"/>
      <c r="D1" s="84"/>
      <c r="E1" s="284">
        <f>inputPrYr!C4</f>
        <v>2014</v>
      </c>
    </row>
    <row r="2" spans="2:5">
      <c r="B2" s="84"/>
      <c r="C2" s="84"/>
      <c r="D2" s="84"/>
      <c r="E2" s="238"/>
    </row>
    <row r="3" spans="2:5">
      <c r="B3" s="151" t="s">
        <v>237</v>
      </c>
      <c r="C3" s="331"/>
      <c r="D3" s="331"/>
      <c r="E3" s="332"/>
    </row>
    <row r="4" spans="2:5">
      <c r="B4" s="84"/>
      <c r="C4" s="325"/>
      <c r="D4" s="325"/>
      <c r="E4" s="325"/>
    </row>
    <row r="5" spans="2:5">
      <c r="B5" s="83" t="s">
        <v>159</v>
      </c>
      <c r="C5" s="321" t="str">
        <f>general!C4</f>
        <v xml:space="preserve">Prior Year </v>
      </c>
      <c r="D5" s="214" t="str">
        <f>general!D4</f>
        <v xml:space="preserve">Current Year </v>
      </c>
      <c r="E5" s="214" t="str">
        <f>general!E4</f>
        <v xml:space="preserve">Proposed Budget </v>
      </c>
    </row>
    <row r="6" spans="2:5">
      <c r="B6" s="482" t="str">
        <f>inputPrYr!B55</f>
        <v>New Courthouse (47)</v>
      </c>
      <c r="C6" s="313" t="str">
        <f>general!C5</f>
        <v>Actual for 2012</v>
      </c>
      <c r="D6" s="313" t="str">
        <f>general!D5</f>
        <v>Estimate for 2013</v>
      </c>
      <c r="E6" s="300" t="str">
        <f>general!E5</f>
        <v>Year for 2014</v>
      </c>
    </row>
    <row r="7" spans="2:5">
      <c r="B7" s="147" t="s">
        <v>278</v>
      </c>
      <c r="C7" s="111">
        <v>0</v>
      </c>
      <c r="D7" s="263">
        <f>C30</f>
        <v>0</v>
      </c>
      <c r="E7" s="263">
        <f>D30</f>
        <v>0</v>
      </c>
    </row>
    <row r="8" spans="2:5">
      <c r="B8" s="334" t="s">
        <v>280</v>
      </c>
      <c r="C8" s="107"/>
      <c r="D8" s="107"/>
      <c r="E8" s="107"/>
    </row>
    <row r="9" spans="2:5">
      <c r="B9" s="316"/>
      <c r="C9" s="111"/>
      <c r="D9" s="111">
        <v>0</v>
      </c>
      <c r="E9" s="111">
        <v>0</v>
      </c>
    </row>
    <row r="10" spans="2:5">
      <c r="B10" s="316"/>
      <c r="C10" s="111"/>
      <c r="D10" s="111"/>
      <c r="E10" s="111"/>
    </row>
    <row r="11" spans="2:5">
      <c r="B11" s="316"/>
      <c r="C11" s="111"/>
      <c r="D11" s="111"/>
      <c r="E11" s="111"/>
    </row>
    <row r="12" spans="2:5">
      <c r="B12" s="306" t="s">
        <v>167</v>
      </c>
      <c r="C12" s="111"/>
      <c r="D12" s="111"/>
      <c r="E12" s="111"/>
    </row>
    <row r="13" spans="2:5">
      <c r="B13" s="307" t="s">
        <v>75</v>
      </c>
      <c r="C13" s="111"/>
      <c r="D13" s="302"/>
      <c r="E13" s="302"/>
    </row>
    <row r="14" spans="2:5">
      <c r="B14" s="307" t="s">
        <v>682</v>
      </c>
      <c r="C14" s="478" t="str">
        <f>IF(C15*0.1&lt;C13,"Exceed 10% Rule","")</f>
        <v/>
      </c>
      <c r="D14" s="308" t="str">
        <f>IF(D15*0.1&lt;D13,"Exceed 10% Rule","")</f>
        <v/>
      </c>
      <c r="E14" s="308" t="str">
        <f>IF(E15*0.1&lt;E13,"Exceed 10% Rule","")</f>
        <v/>
      </c>
    </row>
    <row r="15" spans="2:5">
      <c r="B15" s="309" t="s">
        <v>168</v>
      </c>
      <c r="C15" s="350">
        <f>SUM(C9:C13)</f>
        <v>0</v>
      </c>
      <c r="D15" s="350">
        <f>SUM(D9:D13)</f>
        <v>0</v>
      </c>
      <c r="E15" s="350">
        <f>SUM(E9:E13)</f>
        <v>0</v>
      </c>
    </row>
    <row r="16" spans="2:5">
      <c r="B16" s="309" t="s">
        <v>169</v>
      </c>
      <c r="C16" s="350">
        <f>C15+C7</f>
        <v>0</v>
      </c>
      <c r="D16" s="350">
        <f>D15+D7</f>
        <v>0</v>
      </c>
      <c r="E16" s="350">
        <f>E15+E7</f>
        <v>0</v>
      </c>
    </row>
    <row r="17" spans="2:5">
      <c r="B17" s="147" t="s">
        <v>172</v>
      </c>
      <c r="C17" s="263"/>
      <c r="D17" s="263"/>
      <c r="E17" s="263"/>
    </row>
    <row r="18" spans="2:5">
      <c r="B18" s="316" t="s">
        <v>991</v>
      </c>
      <c r="C18" s="111">
        <v>0</v>
      </c>
      <c r="D18" s="111">
        <v>0</v>
      </c>
      <c r="E18" s="111">
        <v>0</v>
      </c>
    </row>
    <row r="19" spans="2:5">
      <c r="B19" s="316"/>
      <c r="C19" s="111"/>
      <c r="D19" s="111"/>
      <c r="E19" s="111"/>
    </row>
    <row r="20" spans="2:5">
      <c r="B20" s="316"/>
      <c r="C20" s="111"/>
      <c r="D20" s="111"/>
      <c r="E20" s="111"/>
    </row>
    <row r="21" spans="2:5">
      <c r="B21" s="316"/>
      <c r="C21" s="111"/>
      <c r="D21" s="111"/>
      <c r="E21" s="111"/>
    </row>
    <row r="22" spans="2:5">
      <c r="B22" s="316"/>
      <c r="C22" s="111"/>
      <c r="D22" s="111"/>
      <c r="E22" s="111"/>
    </row>
    <row r="23" spans="2:5">
      <c r="B23" s="316"/>
      <c r="C23" s="111"/>
      <c r="D23" s="111"/>
      <c r="E23" s="111"/>
    </row>
    <row r="24" spans="2:5">
      <c r="B24" s="316"/>
      <c r="C24" s="111"/>
      <c r="D24" s="111"/>
      <c r="E24" s="111"/>
    </row>
    <row r="25" spans="2:5">
      <c r="B25" s="316"/>
      <c r="C25" s="111"/>
      <c r="D25" s="111"/>
      <c r="E25" s="111"/>
    </row>
    <row r="26" spans="2:5">
      <c r="B26" s="316"/>
      <c r="C26" s="111"/>
      <c r="D26" s="111"/>
      <c r="E26" s="111"/>
    </row>
    <row r="27" spans="2:5">
      <c r="B27" s="307" t="s">
        <v>75</v>
      </c>
      <c r="C27" s="111"/>
      <c r="D27" s="302"/>
      <c r="E27" s="302"/>
    </row>
    <row r="28" spans="2:5">
      <c r="B28" s="307" t="s">
        <v>681</v>
      </c>
      <c r="C28" s="478" t="str">
        <f>IF(C29*0.1&lt;C27,"Exceed 10% Rule","")</f>
        <v/>
      </c>
      <c r="D28" s="308" t="str">
        <f>IF(D29*0.1&lt;D27,"Exceed 10% Rule","")</f>
        <v/>
      </c>
      <c r="E28" s="308" t="str">
        <f>IF(E29*0.1&lt;E27,"Exceed 10% Rule","")</f>
        <v/>
      </c>
    </row>
    <row r="29" spans="2:5">
      <c r="B29" s="309" t="s">
        <v>173</v>
      </c>
      <c r="C29" s="350">
        <f>SUM(C18:C27)</f>
        <v>0</v>
      </c>
      <c r="D29" s="350">
        <f>SUM(D18:D27)</f>
        <v>0</v>
      </c>
      <c r="E29" s="350">
        <f>SUM(E18:E27)</f>
        <v>0</v>
      </c>
    </row>
    <row r="30" spans="2:5">
      <c r="B30" s="147" t="s">
        <v>279</v>
      </c>
      <c r="C30" s="119">
        <f>C16-C29</f>
        <v>0</v>
      </c>
      <c r="D30" s="119">
        <f>D16-D29</f>
        <v>0</v>
      </c>
      <c r="E30" s="119">
        <f>E16-E29</f>
        <v>0</v>
      </c>
    </row>
    <row r="31" spans="2:5">
      <c r="B31" s="285" t="str">
        <f>CONCATENATE("",E$1-2,"/",E$1-1," Budget Authority Amount:")</f>
        <v>2012/2013 Budget Authority Amount:</v>
      </c>
      <c r="C31" s="277">
        <f>inputOth!B67</f>
        <v>0</v>
      </c>
      <c r="D31" s="277">
        <f>inputPrYr!D55</f>
        <v>0</v>
      </c>
      <c r="E31" s="477" t="str">
        <f>IF(E30&lt;0,"See Tab E","")</f>
        <v/>
      </c>
    </row>
    <row r="32" spans="2:5">
      <c r="B32" s="285"/>
      <c r="C32" s="319" t="str">
        <f>IF(C29&gt;C31,"See Tab A","")</f>
        <v/>
      </c>
      <c r="D32" s="319" t="str">
        <f>IF(D29&gt;D31,"See Tab C","")</f>
        <v/>
      </c>
      <c r="E32" s="144"/>
    </row>
    <row r="33" spans="2:5">
      <c r="B33" s="285"/>
      <c r="C33" s="319" t="str">
        <f>IF(C30&lt;0,"See Tab B","")</f>
        <v/>
      </c>
      <c r="D33" s="319" t="str">
        <f>IF(D30&lt;0,"See Tab D","")</f>
        <v/>
      </c>
      <c r="E33" s="144"/>
    </row>
    <row r="34" spans="2:5">
      <c r="B34" s="84"/>
      <c r="C34" s="144"/>
      <c r="D34" s="144"/>
      <c r="E34" s="144"/>
    </row>
    <row r="35" spans="2:5">
      <c r="B35" s="83" t="s">
        <v>159</v>
      </c>
      <c r="C35" s="325"/>
      <c r="D35" s="325"/>
      <c r="E35" s="325"/>
    </row>
    <row r="36" spans="2:5">
      <c r="B36" s="84"/>
      <c r="C36" s="321" t="str">
        <f t="shared" ref="C36:E37" si="0">C5</f>
        <v xml:space="preserve">Prior Year </v>
      </c>
      <c r="D36" s="214" t="str">
        <f t="shared" si="0"/>
        <v xml:space="preserve">Current Year </v>
      </c>
      <c r="E36" s="214" t="str">
        <f t="shared" si="0"/>
        <v xml:space="preserve">Proposed Budget </v>
      </c>
    </row>
    <row r="37" spans="2:5">
      <c r="B37" s="481" t="str">
        <f>inputPrYr!B56</f>
        <v>Courthouse Sales Tax Surplus (52)</v>
      </c>
      <c r="C37" s="313" t="str">
        <f t="shared" si="0"/>
        <v>Actual for 2012</v>
      </c>
      <c r="D37" s="313" t="str">
        <f t="shared" si="0"/>
        <v>Estimate for 2013</v>
      </c>
      <c r="E37" s="300" t="str">
        <f t="shared" si="0"/>
        <v>Year for 2014</v>
      </c>
    </row>
    <row r="38" spans="2:5">
      <c r="B38" s="147" t="s">
        <v>278</v>
      </c>
      <c r="C38" s="111">
        <v>481866</v>
      </c>
      <c r="D38" s="263">
        <f>C61</f>
        <v>0</v>
      </c>
      <c r="E38" s="263">
        <f>D61</f>
        <v>11</v>
      </c>
    </row>
    <row r="39" spans="2:5">
      <c r="B39" s="147" t="s">
        <v>280</v>
      </c>
      <c r="C39" s="107"/>
      <c r="D39" s="107"/>
      <c r="E39" s="107"/>
    </row>
    <row r="40" spans="2:5">
      <c r="B40" s="316" t="s">
        <v>1013</v>
      </c>
      <c r="C40" s="111">
        <v>1762553</v>
      </c>
      <c r="D40" s="111"/>
      <c r="E40" s="111"/>
    </row>
    <row r="41" spans="2:5">
      <c r="B41" s="316"/>
      <c r="C41" s="111"/>
      <c r="D41" s="111"/>
      <c r="E41" s="111"/>
    </row>
    <row r="42" spans="2:5">
      <c r="B42" s="316"/>
      <c r="C42" s="111"/>
      <c r="D42" s="111"/>
      <c r="E42" s="111"/>
    </row>
    <row r="43" spans="2:5">
      <c r="B43" s="306" t="s">
        <v>167</v>
      </c>
      <c r="C43" s="111">
        <v>126</v>
      </c>
      <c r="D43" s="111">
        <v>11</v>
      </c>
      <c r="E43" s="111"/>
    </row>
    <row r="44" spans="2:5">
      <c r="B44" s="307" t="s">
        <v>75</v>
      </c>
      <c r="C44" s="111"/>
      <c r="D44" s="302"/>
      <c r="E44" s="302"/>
    </row>
    <row r="45" spans="2:5">
      <c r="B45" s="307" t="s">
        <v>682</v>
      </c>
      <c r="C45" s="478" t="str">
        <f>IF(C46*0.1&lt;C44,"Exceed 10% Rule","")</f>
        <v/>
      </c>
      <c r="D45" s="308" t="str">
        <f>IF(D46*0.1&lt;D44,"Exceed 10% Rule","")</f>
        <v/>
      </c>
      <c r="E45" s="308" t="str">
        <f>IF(E46*0.1&lt;E44,"Exceed 10% Rule","")</f>
        <v/>
      </c>
    </row>
    <row r="46" spans="2:5">
      <c r="B46" s="309" t="s">
        <v>168</v>
      </c>
      <c r="C46" s="350">
        <f>SUM(C40:C44)</f>
        <v>1762679</v>
      </c>
      <c r="D46" s="350">
        <f>SUM(D40:D44)</f>
        <v>11</v>
      </c>
      <c r="E46" s="350">
        <f>SUM(E40:E44)</f>
        <v>0</v>
      </c>
    </row>
    <row r="47" spans="2:5">
      <c r="B47" s="309" t="s">
        <v>169</v>
      </c>
      <c r="C47" s="350">
        <f>C38+C46</f>
        <v>2244545</v>
      </c>
      <c r="D47" s="350">
        <f>D38+D46</f>
        <v>11</v>
      </c>
      <c r="E47" s="350">
        <f>E38+E46</f>
        <v>11</v>
      </c>
    </row>
    <row r="48" spans="2:5">
      <c r="B48" s="147" t="s">
        <v>172</v>
      </c>
      <c r="C48" s="263"/>
      <c r="D48" s="263"/>
      <c r="E48" s="263"/>
    </row>
    <row r="49" spans="2:5">
      <c r="B49" s="316" t="s">
        <v>1014</v>
      </c>
      <c r="C49" s="111">
        <v>2500</v>
      </c>
      <c r="D49" s="111"/>
      <c r="E49" s="111"/>
    </row>
    <row r="50" spans="2:5">
      <c r="B50" s="316" t="s">
        <v>975</v>
      </c>
      <c r="C50" s="111">
        <v>14321</v>
      </c>
      <c r="D50" s="111"/>
      <c r="E50" s="111"/>
    </row>
    <row r="51" spans="2:5">
      <c r="B51" s="316" t="s">
        <v>1015</v>
      </c>
      <c r="C51" s="111">
        <v>1127243</v>
      </c>
      <c r="D51" s="111"/>
      <c r="E51" s="111"/>
    </row>
    <row r="52" spans="2:5">
      <c r="B52" s="316" t="s">
        <v>1016</v>
      </c>
      <c r="C52" s="111">
        <v>34353</v>
      </c>
      <c r="D52" s="111"/>
      <c r="E52" s="111"/>
    </row>
    <row r="53" spans="2:5">
      <c r="B53" s="316" t="s">
        <v>1017</v>
      </c>
      <c r="C53" s="111">
        <v>1066128</v>
      </c>
      <c r="D53" s="111"/>
      <c r="E53" s="111"/>
    </row>
    <row r="54" spans="2:5">
      <c r="B54" s="316"/>
      <c r="C54" s="111"/>
      <c r="D54" s="111"/>
      <c r="E54" s="111"/>
    </row>
    <row r="55" spans="2:5">
      <c r="B55" s="316"/>
      <c r="C55" s="111"/>
      <c r="D55" s="111"/>
      <c r="E55" s="111"/>
    </row>
    <row r="56" spans="2:5">
      <c r="B56" s="316"/>
      <c r="C56" s="111"/>
      <c r="D56" s="111"/>
      <c r="E56" s="111"/>
    </row>
    <row r="57" spans="2:5">
      <c r="B57" s="316"/>
      <c r="C57" s="111"/>
      <c r="D57" s="111"/>
      <c r="E57" s="111"/>
    </row>
    <row r="58" spans="2:5">
      <c r="B58" s="307" t="s">
        <v>75</v>
      </c>
      <c r="C58" s="111"/>
      <c r="D58" s="302"/>
      <c r="E58" s="302"/>
    </row>
    <row r="59" spans="2:5">
      <c r="B59" s="307" t="s">
        <v>681</v>
      </c>
      <c r="C59" s="478" t="str">
        <f>IF(C60*0.1&lt;C58,"Exceed 10% Rule","")</f>
        <v/>
      </c>
      <c r="D59" s="308" t="str">
        <f>IF(D60*0.1&lt;D58,"Exceed 10% Rule","")</f>
        <v/>
      </c>
      <c r="E59" s="308" t="str">
        <f>IF(E60*0.1&lt;E58,"Exceed 10% Rule","")</f>
        <v/>
      </c>
    </row>
    <row r="60" spans="2:5">
      <c r="B60" s="309" t="s">
        <v>173</v>
      </c>
      <c r="C60" s="350">
        <f>SUM(C49:C58)</f>
        <v>2244545</v>
      </c>
      <c r="D60" s="350">
        <f>SUM(D49:D58)</f>
        <v>0</v>
      </c>
      <c r="E60" s="350">
        <f>SUM(E49:E58)</f>
        <v>0</v>
      </c>
    </row>
    <row r="61" spans="2:5">
      <c r="B61" s="147" t="s">
        <v>279</v>
      </c>
      <c r="C61" s="119">
        <f>C47-C60</f>
        <v>0</v>
      </c>
      <c r="D61" s="119">
        <f>D47-D60</f>
        <v>11</v>
      </c>
      <c r="E61" s="119">
        <f>E47-E60</f>
        <v>11</v>
      </c>
    </row>
    <row r="62" spans="2:5">
      <c r="B62" s="285" t="str">
        <f>CONCATENATE("",E$1-2,"/",E$1-1," Budget Authority Amount:")</f>
        <v>2012/2013 Budget Authority Amount:</v>
      </c>
      <c r="C62" s="277">
        <f>inputOth!B68</f>
        <v>0</v>
      </c>
      <c r="D62" s="277">
        <f>inputPrYr!D56</f>
        <v>0</v>
      </c>
      <c r="E62" s="476" t="str">
        <f>IF(E61&lt;0,"See Tab E","")</f>
        <v/>
      </c>
    </row>
    <row r="63" spans="2:5">
      <c r="B63" s="285"/>
      <c r="C63" s="319" t="str">
        <f>IF(C60&gt;C62,"See Tab A","")</f>
        <v>See Tab A</v>
      </c>
      <c r="D63" s="319" t="str">
        <f>IF(D60&gt;D62,"See Tab C","")</f>
        <v/>
      </c>
      <c r="E63" s="84"/>
    </row>
    <row r="64" spans="2:5">
      <c r="B64" s="285"/>
      <c r="C64" s="319" t="str">
        <f>IF(C61&lt;0,"See Tab B","")</f>
        <v/>
      </c>
      <c r="D64" s="319" t="str">
        <f>IF(D61&lt;0,"See Tab D","")</f>
        <v/>
      </c>
      <c r="E64" s="84"/>
    </row>
    <row r="65" spans="2:5">
      <c r="B65" s="84"/>
      <c r="C65" s="84"/>
      <c r="D65" s="84"/>
      <c r="E65" s="84"/>
    </row>
    <row r="66" spans="2:5">
      <c r="B66" s="285" t="s">
        <v>188</v>
      </c>
      <c r="C66" s="347">
        <v>22</v>
      </c>
      <c r="D66" s="84"/>
      <c r="E66" s="84"/>
    </row>
  </sheetData>
  <sheetProtection sheet="1"/>
  <phoneticPr fontId="8" type="noConversion"/>
  <conditionalFormatting sqref="C27">
    <cfRule type="cellIs" dxfId="37" priority="3" stopIfTrue="1" operator="greaterThan">
      <formula>$C$29*0.1</formula>
    </cfRule>
  </conditionalFormatting>
  <conditionalFormatting sqref="D27">
    <cfRule type="cellIs" dxfId="36" priority="4" stopIfTrue="1" operator="greaterThan">
      <formula>$D$29*0.1</formula>
    </cfRule>
  </conditionalFormatting>
  <conditionalFormatting sqref="E27">
    <cfRule type="cellIs" dxfId="35" priority="5" stopIfTrue="1" operator="greaterThan">
      <formula>$E$29*0.1</formula>
    </cfRule>
  </conditionalFormatting>
  <conditionalFormatting sqref="C13">
    <cfRule type="cellIs" dxfId="34" priority="6" stopIfTrue="1" operator="greaterThan">
      <formula>$C$15*0.1</formula>
    </cfRule>
  </conditionalFormatting>
  <conditionalFormatting sqref="D13">
    <cfRule type="cellIs" dxfId="33" priority="7" stopIfTrue="1" operator="greaterThan">
      <formula>$D$15*0.1</formula>
    </cfRule>
  </conditionalFormatting>
  <conditionalFormatting sqref="E13">
    <cfRule type="cellIs" dxfId="32" priority="8" stopIfTrue="1" operator="greaterThan">
      <formula>$E$15*0.1</formula>
    </cfRule>
  </conditionalFormatting>
  <conditionalFormatting sqref="C44">
    <cfRule type="cellIs" dxfId="31" priority="9" stopIfTrue="1" operator="greaterThan">
      <formula>$C$46*0.1</formula>
    </cfRule>
  </conditionalFormatting>
  <conditionalFormatting sqref="D44">
    <cfRule type="cellIs" dxfId="30" priority="10" stopIfTrue="1" operator="greaterThan">
      <formula>$D$46*0.1</formula>
    </cfRule>
  </conditionalFormatting>
  <conditionalFormatting sqref="E44">
    <cfRule type="cellIs" dxfId="29" priority="11" stopIfTrue="1" operator="greaterThan">
      <formula>$E$46*0.1</formula>
    </cfRule>
  </conditionalFormatting>
  <conditionalFormatting sqref="C58">
    <cfRule type="cellIs" dxfId="28" priority="12" stopIfTrue="1" operator="greaterThan">
      <formula>$C$60*0.1</formula>
    </cfRule>
  </conditionalFormatting>
  <conditionalFormatting sqref="D58">
    <cfRule type="cellIs" dxfId="27" priority="13" stopIfTrue="1" operator="greaterThan">
      <formula>$D$60*0.1</formula>
    </cfRule>
  </conditionalFormatting>
  <conditionalFormatting sqref="E58">
    <cfRule type="cellIs" dxfId="26" priority="14" stopIfTrue="1" operator="greaterThan">
      <formula>$E$60*0.1</formula>
    </cfRule>
  </conditionalFormatting>
  <conditionalFormatting sqref="E30 C30 E61 C61">
    <cfRule type="cellIs" dxfId="25" priority="15" stopIfTrue="1" operator="lessThan">
      <formula>0</formula>
    </cfRule>
  </conditionalFormatting>
  <conditionalFormatting sqref="D29">
    <cfRule type="cellIs" dxfId="24" priority="16" stopIfTrue="1" operator="greaterThan">
      <formula>$D$31</formula>
    </cfRule>
  </conditionalFormatting>
  <conditionalFormatting sqref="C29">
    <cfRule type="cellIs" dxfId="23" priority="17" stopIfTrue="1" operator="greaterThan">
      <formula>$C$31</formula>
    </cfRule>
  </conditionalFormatting>
  <conditionalFormatting sqref="D60">
    <cfRule type="cellIs" dxfId="22" priority="18" stopIfTrue="1" operator="greaterThan">
      <formula>$D$62</formula>
    </cfRule>
  </conditionalFormatting>
  <conditionalFormatting sqref="C60">
    <cfRule type="cellIs" dxfId="21" priority="19" stopIfTrue="1" operator="greaterThan">
      <formula>$C$62</formula>
    </cfRule>
  </conditionalFormatting>
  <conditionalFormatting sqref="D30">
    <cfRule type="cellIs" dxfId="20" priority="2" stopIfTrue="1" operator="lessThan">
      <formula>0</formula>
    </cfRule>
  </conditionalFormatting>
  <conditionalFormatting sqref="D61">
    <cfRule type="cellIs" dxfId="19" priority="1" stopIfTrue="1" operator="lessThan">
      <formula>0</formula>
    </cfRule>
  </conditionalFormatting>
  <pageMargins left="0.75" right="0.75" top="0.68" bottom="0.67" header="0.36" footer="0.5"/>
  <pageSetup scale="67" orientation="portrait" blackAndWhite="1" r:id="rId1"/>
  <headerFooter alignWithMargins="0">
    <oddHeader>&amp;RState of Kansas
County</oddHeader>
  </headerFooter>
</worksheet>
</file>

<file path=xl/worksheets/sheet36.xml><?xml version="1.0" encoding="utf-8"?>
<worksheet xmlns="http://schemas.openxmlformats.org/spreadsheetml/2006/main" xmlns:r="http://schemas.openxmlformats.org/officeDocument/2006/relationships">
  <sheetPr codeName="Sheet31"/>
  <dimension ref="B1:E66"/>
  <sheetViews>
    <sheetView topLeftCell="A31" workbookViewId="0">
      <selection activeCell="C9" sqref="C9"/>
    </sheetView>
  </sheetViews>
  <sheetFormatPr defaultRowHeight="15.75"/>
  <cols>
    <col min="1" max="1" width="2.44140625" style="71" customWidth="1"/>
    <col min="2" max="2" width="31.109375" style="71" customWidth="1"/>
    <col min="3" max="4" width="15.77734375" style="71" customWidth="1"/>
    <col min="5" max="5" width="16.109375" style="71" customWidth="1"/>
    <col min="6" max="16384" width="8.88671875" style="71"/>
  </cols>
  <sheetData>
    <row r="1" spans="2:5">
      <c r="B1" s="226" t="str">
        <f>(inputPrYr!C2)</f>
        <v>Lyon County</v>
      </c>
      <c r="C1" s="84"/>
      <c r="D1" s="84"/>
      <c r="E1" s="284">
        <f>inputPrYr!C4</f>
        <v>2014</v>
      </c>
    </row>
    <row r="2" spans="2:5">
      <c r="B2" s="84"/>
      <c r="C2" s="84"/>
      <c r="D2" s="84"/>
      <c r="E2" s="238"/>
    </row>
    <row r="3" spans="2:5">
      <c r="B3" s="151" t="s">
        <v>237</v>
      </c>
      <c r="C3" s="331"/>
      <c r="D3" s="331"/>
      <c r="E3" s="332"/>
    </row>
    <row r="4" spans="2:5">
      <c r="B4" s="84"/>
      <c r="C4" s="325"/>
      <c r="D4" s="325"/>
      <c r="E4" s="325"/>
    </row>
    <row r="5" spans="2:5">
      <c r="B5" s="83" t="s">
        <v>159</v>
      </c>
      <c r="C5" s="321" t="str">
        <f>general!C4</f>
        <v xml:space="preserve">Prior Year </v>
      </c>
      <c r="D5" s="214" t="str">
        <f>general!D4</f>
        <v xml:space="preserve">Current Year </v>
      </c>
      <c r="E5" s="214" t="str">
        <f>general!E4</f>
        <v xml:space="preserve">Proposed Budget </v>
      </c>
    </row>
    <row r="6" spans="2:5">
      <c r="B6" s="482" t="str">
        <f>inputPrYr!B57</f>
        <v>Special Alcohol Fund (54)</v>
      </c>
      <c r="C6" s="313" t="str">
        <f>general!C5</f>
        <v>Actual for 2012</v>
      </c>
      <c r="D6" s="313" t="str">
        <f>general!D5</f>
        <v>Estimate for 2013</v>
      </c>
      <c r="E6" s="300" t="str">
        <f>general!E5</f>
        <v>Year for 2014</v>
      </c>
    </row>
    <row r="7" spans="2:5">
      <c r="B7" s="147" t="s">
        <v>278</v>
      </c>
      <c r="C7" s="111">
        <v>17604</v>
      </c>
      <c r="D7" s="263">
        <f>C30</f>
        <v>19258</v>
      </c>
      <c r="E7" s="263">
        <f>D30</f>
        <v>20557</v>
      </c>
    </row>
    <row r="8" spans="2:5">
      <c r="B8" s="334" t="s">
        <v>280</v>
      </c>
      <c r="C8" s="107"/>
      <c r="D8" s="107"/>
      <c r="E8" s="107"/>
    </row>
    <row r="9" spans="2:5">
      <c r="B9" s="316" t="s">
        <v>1018</v>
      </c>
      <c r="C9" s="111">
        <v>1654</v>
      </c>
      <c r="D9" s="111">
        <v>1299</v>
      </c>
      <c r="E9" s="111">
        <v>2000</v>
      </c>
    </row>
    <row r="10" spans="2:5">
      <c r="B10" s="316"/>
      <c r="C10" s="111"/>
      <c r="D10" s="111"/>
      <c r="E10" s="111"/>
    </row>
    <row r="11" spans="2:5">
      <c r="B11" s="316"/>
      <c r="C11" s="111"/>
      <c r="D11" s="111"/>
      <c r="E11" s="111"/>
    </row>
    <row r="12" spans="2:5">
      <c r="B12" s="306" t="s">
        <v>167</v>
      </c>
      <c r="C12" s="111"/>
      <c r="D12" s="111"/>
      <c r="E12" s="111"/>
    </row>
    <row r="13" spans="2:5">
      <c r="B13" s="307" t="s">
        <v>75</v>
      </c>
      <c r="C13" s="111"/>
      <c r="D13" s="302"/>
      <c r="E13" s="302"/>
    </row>
    <row r="14" spans="2:5">
      <c r="B14" s="307" t="s">
        <v>682</v>
      </c>
      <c r="C14" s="478" t="str">
        <f>IF(C15*0.1&lt;C13,"Exceed 10% Rule","")</f>
        <v/>
      </c>
      <c r="D14" s="308" t="str">
        <f>IF(D15*0.1&lt;D13,"Exceed 10% Rule","")</f>
        <v/>
      </c>
      <c r="E14" s="308" t="str">
        <f>IF(E15*0.1&lt;E13,"Exceed 10% Rule","")</f>
        <v/>
      </c>
    </row>
    <row r="15" spans="2:5">
      <c r="B15" s="309" t="s">
        <v>168</v>
      </c>
      <c r="C15" s="350">
        <f>SUM(C9:C13)</f>
        <v>1654</v>
      </c>
      <c r="D15" s="350">
        <f>SUM(D9:D13)</f>
        <v>1299</v>
      </c>
      <c r="E15" s="350">
        <f>SUM(E9:E13)</f>
        <v>2000</v>
      </c>
    </row>
    <row r="16" spans="2:5">
      <c r="B16" s="309" t="s">
        <v>169</v>
      </c>
      <c r="C16" s="350">
        <f>C15+C7</f>
        <v>19258</v>
      </c>
      <c r="D16" s="350">
        <f>D15+D7</f>
        <v>20557</v>
      </c>
      <c r="E16" s="350">
        <f>E15+E7</f>
        <v>22557</v>
      </c>
    </row>
    <row r="17" spans="2:5">
      <c r="B17" s="147" t="s">
        <v>172</v>
      </c>
      <c r="C17" s="263"/>
      <c r="D17" s="263"/>
      <c r="E17" s="263"/>
    </row>
    <row r="18" spans="2:5">
      <c r="B18" s="316" t="s">
        <v>973</v>
      </c>
      <c r="C18" s="111"/>
      <c r="D18" s="111">
        <v>0</v>
      </c>
      <c r="E18" s="111">
        <v>15000</v>
      </c>
    </row>
    <row r="19" spans="2:5">
      <c r="B19" s="316"/>
      <c r="C19" s="111"/>
      <c r="D19" s="111"/>
      <c r="E19" s="111"/>
    </row>
    <row r="20" spans="2:5">
      <c r="B20" s="316"/>
      <c r="C20" s="111"/>
      <c r="D20" s="111"/>
      <c r="E20" s="111"/>
    </row>
    <row r="21" spans="2:5">
      <c r="B21" s="316"/>
      <c r="C21" s="111"/>
      <c r="D21" s="111"/>
      <c r="E21" s="111"/>
    </row>
    <row r="22" spans="2:5">
      <c r="B22" s="316"/>
      <c r="C22" s="111"/>
      <c r="D22" s="111"/>
      <c r="E22" s="111"/>
    </row>
    <row r="23" spans="2:5">
      <c r="B23" s="316"/>
      <c r="C23" s="111"/>
      <c r="D23" s="111"/>
      <c r="E23" s="111"/>
    </row>
    <row r="24" spans="2:5">
      <c r="B24" s="316"/>
      <c r="C24" s="111"/>
      <c r="D24" s="111"/>
      <c r="E24" s="111"/>
    </row>
    <row r="25" spans="2:5">
      <c r="B25" s="316"/>
      <c r="C25" s="111"/>
      <c r="D25" s="111"/>
      <c r="E25" s="111"/>
    </row>
    <row r="26" spans="2:5">
      <c r="B26" s="316"/>
      <c r="C26" s="111"/>
      <c r="D26" s="111"/>
      <c r="E26" s="111"/>
    </row>
    <row r="27" spans="2:5">
      <c r="B27" s="307" t="s">
        <v>75</v>
      </c>
      <c r="C27" s="111"/>
      <c r="D27" s="302"/>
      <c r="E27" s="302"/>
    </row>
    <row r="28" spans="2:5">
      <c r="B28" s="307" t="s">
        <v>681</v>
      </c>
      <c r="C28" s="478" t="str">
        <f>IF(C29*0.1&lt;C27,"Exceed 10% Rule","")</f>
        <v/>
      </c>
      <c r="D28" s="308" t="str">
        <f>IF(D29*0.1&lt;D27,"Exceed 10% Rule","")</f>
        <v/>
      </c>
      <c r="E28" s="308" t="str">
        <f>IF(E29*0.1&lt;E27,"Exceed 10% Rule","")</f>
        <v/>
      </c>
    </row>
    <row r="29" spans="2:5">
      <c r="B29" s="309" t="s">
        <v>173</v>
      </c>
      <c r="C29" s="350">
        <f>SUM(C18:C27)</f>
        <v>0</v>
      </c>
      <c r="D29" s="350">
        <f>SUM(D18:D27)</f>
        <v>0</v>
      </c>
      <c r="E29" s="350">
        <f>SUM(E18:E27)</f>
        <v>15000</v>
      </c>
    </row>
    <row r="30" spans="2:5">
      <c r="B30" s="147" t="s">
        <v>279</v>
      </c>
      <c r="C30" s="119">
        <f>C16-C29</f>
        <v>19258</v>
      </c>
      <c r="D30" s="119">
        <f>D16-D29</f>
        <v>20557</v>
      </c>
      <c r="E30" s="119">
        <f>E16-E29</f>
        <v>7557</v>
      </c>
    </row>
    <row r="31" spans="2:5">
      <c r="B31" s="285" t="str">
        <f>CONCATENATE("",E$1-2,"/",E$1-1," Budget Authority Amount:")</f>
        <v>2012/2013 Budget Authority Amount:</v>
      </c>
      <c r="C31" s="277">
        <f>inputOth!B69</f>
        <v>15000</v>
      </c>
      <c r="D31" s="277">
        <f>inputPrYr!D57</f>
        <v>15000</v>
      </c>
      <c r="E31" s="477" t="str">
        <f>IF(E30&lt;0,"See Tab E","")</f>
        <v/>
      </c>
    </row>
    <row r="32" spans="2:5">
      <c r="B32" s="285"/>
      <c r="C32" s="319" t="str">
        <f>IF(C29&gt;C31,"See Tab A","")</f>
        <v/>
      </c>
      <c r="D32" s="319" t="str">
        <f>IF(D29&gt;D31,"See Tab C","")</f>
        <v/>
      </c>
      <c r="E32" s="144"/>
    </row>
    <row r="33" spans="2:5">
      <c r="B33" s="285"/>
      <c r="C33" s="319" t="str">
        <f>IF(C30&lt;0,"See Tab B","")</f>
        <v/>
      </c>
      <c r="D33" s="319" t="str">
        <f>IF(D30&lt;0,"See Tab D","")</f>
        <v/>
      </c>
      <c r="E33" s="144"/>
    </row>
    <row r="34" spans="2:5">
      <c r="B34" s="84"/>
      <c r="C34" s="144"/>
      <c r="D34" s="144"/>
      <c r="E34" s="144"/>
    </row>
    <row r="35" spans="2:5">
      <c r="B35" s="83" t="s">
        <v>159</v>
      </c>
      <c r="C35" s="325"/>
      <c r="D35" s="325"/>
      <c r="E35" s="325"/>
    </row>
    <row r="36" spans="2:5">
      <c r="B36" s="84"/>
      <c r="C36" s="321" t="str">
        <f t="shared" ref="C36:E37" si="0">C5</f>
        <v xml:space="preserve">Prior Year </v>
      </c>
      <c r="D36" s="214" t="str">
        <f t="shared" si="0"/>
        <v xml:space="preserve">Current Year </v>
      </c>
      <c r="E36" s="214" t="str">
        <f t="shared" si="0"/>
        <v xml:space="preserve">Proposed Budget </v>
      </c>
    </row>
    <row r="37" spans="2:5">
      <c r="B37" s="481" t="str">
        <f>inputPrYr!B58</f>
        <v>Special Parks &amp; Rec (55)</v>
      </c>
      <c r="C37" s="313" t="str">
        <f t="shared" si="0"/>
        <v>Actual for 2012</v>
      </c>
      <c r="D37" s="313" t="str">
        <f t="shared" si="0"/>
        <v>Estimate for 2013</v>
      </c>
      <c r="E37" s="300" t="str">
        <f t="shared" si="0"/>
        <v>Year for 2014</v>
      </c>
    </row>
    <row r="38" spans="2:5">
      <c r="B38" s="147" t="s">
        <v>278</v>
      </c>
      <c r="C38" s="111">
        <v>4533</v>
      </c>
      <c r="D38" s="263">
        <f>C61</f>
        <v>4533</v>
      </c>
      <c r="E38" s="263">
        <f>D61</f>
        <v>4533</v>
      </c>
    </row>
    <row r="39" spans="2:5">
      <c r="B39" s="147" t="s">
        <v>280</v>
      </c>
      <c r="C39" s="107"/>
      <c r="D39" s="107"/>
      <c r="E39" s="107"/>
    </row>
    <row r="40" spans="2:5">
      <c r="B40" s="316"/>
      <c r="C40" s="111"/>
      <c r="D40" s="111">
        <v>0</v>
      </c>
      <c r="E40" s="111">
        <v>0</v>
      </c>
    </row>
    <row r="41" spans="2:5">
      <c r="B41" s="316"/>
      <c r="C41" s="111"/>
      <c r="D41" s="111"/>
      <c r="E41" s="111"/>
    </row>
    <row r="42" spans="2:5">
      <c r="B42" s="316"/>
      <c r="C42" s="111"/>
      <c r="D42" s="111"/>
      <c r="E42" s="111"/>
    </row>
    <row r="43" spans="2:5">
      <c r="B43" s="306" t="s">
        <v>167</v>
      </c>
      <c r="C43" s="111"/>
      <c r="D43" s="111"/>
      <c r="E43" s="111"/>
    </row>
    <row r="44" spans="2:5">
      <c r="B44" s="307" t="s">
        <v>75</v>
      </c>
      <c r="C44" s="111"/>
      <c r="D44" s="302"/>
      <c r="E44" s="302"/>
    </row>
    <row r="45" spans="2:5">
      <c r="B45" s="307" t="s">
        <v>682</v>
      </c>
      <c r="C45" s="478" t="str">
        <f>IF(C46*0.1&lt;C44,"Exceed 10% Rule","")</f>
        <v/>
      </c>
      <c r="D45" s="308" t="str">
        <f>IF(D46*0.1&lt;D44,"Exceed 10% Rule","")</f>
        <v/>
      </c>
      <c r="E45" s="308" t="str">
        <f>IF(E46*0.1&lt;E44,"Exceed 10% Rule","")</f>
        <v/>
      </c>
    </row>
    <row r="46" spans="2:5">
      <c r="B46" s="309" t="s">
        <v>168</v>
      </c>
      <c r="C46" s="350">
        <f>SUM(C40:C44)</f>
        <v>0</v>
      </c>
      <c r="D46" s="350">
        <f>SUM(D40:D44)</f>
        <v>0</v>
      </c>
      <c r="E46" s="350">
        <f>SUM(E40:E44)</f>
        <v>0</v>
      </c>
    </row>
    <row r="47" spans="2:5">
      <c r="B47" s="309" t="s">
        <v>169</v>
      </c>
      <c r="C47" s="350">
        <f>C38+C46</f>
        <v>4533</v>
      </c>
      <c r="D47" s="350">
        <f>D38+D46</f>
        <v>4533</v>
      </c>
      <c r="E47" s="350">
        <f>E38+E46</f>
        <v>4533</v>
      </c>
    </row>
    <row r="48" spans="2:5">
      <c r="B48" s="147" t="s">
        <v>172</v>
      </c>
      <c r="C48" s="263"/>
      <c r="D48" s="263"/>
      <c r="E48" s="263"/>
    </row>
    <row r="49" spans="2:5">
      <c r="B49" s="316" t="s">
        <v>1072</v>
      </c>
      <c r="C49" s="111"/>
      <c r="D49" s="111">
        <v>0</v>
      </c>
      <c r="E49" s="111">
        <v>4533</v>
      </c>
    </row>
    <row r="50" spans="2:5">
      <c r="B50" s="316"/>
      <c r="C50" s="111"/>
      <c r="D50" s="111"/>
      <c r="E50" s="111"/>
    </row>
    <row r="51" spans="2:5">
      <c r="B51" s="316"/>
      <c r="C51" s="111"/>
      <c r="D51" s="111"/>
      <c r="E51" s="111"/>
    </row>
    <row r="52" spans="2:5">
      <c r="B52" s="316"/>
      <c r="C52" s="111"/>
      <c r="D52" s="111"/>
      <c r="E52" s="111"/>
    </row>
    <row r="53" spans="2:5">
      <c r="B53" s="316"/>
      <c r="C53" s="111"/>
      <c r="D53" s="111"/>
      <c r="E53" s="111"/>
    </row>
    <row r="54" spans="2:5">
      <c r="B54" s="316"/>
      <c r="C54" s="111"/>
      <c r="D54" s="111"/>
      <c r="E54" s="111"/>
    </row>
    <row r="55" spans="2:5">
      <c r="B55" s="316"/>
      <c r="C55" s="111"/>
      <c r="D55" s="111"/>
      <c r="E55" s="111"/>
    </row>
    <row r="56" spans="2:5">
      <c r="B56" s="316"/>
      <c r="C56" s="111"/>
      <c r="D56" s="111"/>
      <c r="E56" s="111"/>
    </row>
    <row r="57" spans="2:5">
      <c r="B57" s="316"/>
      <c r="C57" s="111"/>
      <c r="D57" s="111"/>
      <c r="E57" s="111"/>
    </row>
    <row r="58" spans="2:5">
      <c r="B58" s="307" t="s">
        <v>75</v>
      </c>
      <c r="C58" s="111"/>
      <c r="D58" s="302"/>
      <c r="E58" s="302"/>
    </row>
    <row r="59" spans="2:5">
      <c r="B59" s="307" t="s">
        <v>681</v>
      </c>
      <c r="C59" s="478" t="str">
        <f>IF(C60*0.1&lt;C58,"Exceed 10% Rule","")</f>
        <v/>
      </c>
      <c r="D59" s="308" t="str">
        <f>IF(D60*0.1&lt;D58,"Exceed 10% Rule","")</f>
        <v/>
      </c>
      <c r="E59" s="308" t="str">
        <f>IF(E60*0.1&lt;E58,"Exceed 10% Rule","")</f>
        <v/>
      </c>
    </row>
    <row r="60" spans="2:5">
      <c r="B60" s="309" t="s">
        <v>173</v>
      </c>
      <c r="C60" s="350">
        <f>SUM(C49:C58)</f>
        <v>0</v>
      </c>
      <c r="D60" s="350">
        <f>SUM(D49:D58)</f>
        <v>0</v>
      </c>
      <c r="E60" s="350">
        <f>SUM(E49:E58)</f>
        <v>4533</v>
      </c>
    </row>
    <row r="61" spans="2:5">
      <c r="B61" s="147" t="s">
        <v>279</v>
      </c>
      <c r="C61" s="119">
        <f>C47-C60</f>
        <v>4533</v>
      </c>
      <c r="D61" s="119">
        <f>D47-D60</f>
        <v>4533</v>
      </c>
      <c r="E61" s="119">
        <f>E47-E60</f>
        <v>0</v>
      </c>
    </row>
    <row r="62" spans="2:5">
      <c r="B62" s="285" t="str">
        <f>CONCATENATE("",E$1-2,"/",E$1-1," Budget Authority Amount:")</f>
        <v>2012/2013 Budget Authority Amount:</v>
      </c>
      <c r="C62" s="277">
        <f>inputOth!B70</f>
        <v>4533</v>
      </c>
      <c r="D62" s="277">
        <f>inputPrYr!D58</f>
        <v>4533</v>
      </c>
      <c r="E62" s="476" t="str">
        <f>IF(E61&lt;0,"See Tab E","")</f>
        <v/>
      </c>
    </row>
    <row r="63" spans="2:5">
      <c r="B63" s="285"/>
      <c r="C63" s="319" t="str">
        <f>IF(C60&gt;C62,"See Tab A","")</f>
        <v/>
      </c>
      <c r="D63" s="319" t="str">
        <f>IF(D60&gt;D62,"See Tab C","")</f>
        <v/>
      </c>
      <c r="E63" s="84"/>
    </row>
    <row r="64" spans="2:5">
      <c r="B64" s="285"/>
      <c r="C64" s="319" t="str">
        <f>IF(C61&lt;0,"See Tab B","")</f>
        <v/>
      </c>
      <c r="D64" s="319" t="str">
        <f>IF(D61&lt;0,"See Tab D","")</f>
        <v/>
      </c>
      <c r="E64" s="84"/>
    </row>
    <row r="65" spans="2:5">
      <c r="B65" s="84"/>
      <c r="C65" s="84"/>
      <c r="D65" s="84"/>
      <c r="E65" s="84"/>
    </row>
    <row r="66" spans="2:5">
      <c r="B66" s="285" t="s">
        <v>188</v>
      </c>
      <c r="C66" s="347">
        <v>23</v>
      </c>
      <c r="D66" s="84"/>
      <c r="E66" s="84"/>
    </row>
  </sheetData>
  <sheetProtection sheet="1"/>
  <phoneticPr fontId="8" type="noConversion"/>
  <conditionalFormatting sqref="C27">
    <cfRule type="cellIs" dxfId="18" priority="4" stopIfTrue="1" operator="greaterThan">
      <formula>$C$29*0.1</formula>
    </cfRule>
  </conditionalFormatting>
  <conditionalFormatting sqref="D27">
    <cfRule type="cellIs" dxfId="17" priority="5" stopIfTrue="1" operator="greaterThan">
      <formula>$D$29*0.1</formula>
    </cfRule>
  </conditionalFormatting>
  <conditionalFormatting sqref="E27">
    <cfRule type="cellIs" dxfId="16" priority="6" stopIfTrue="1" operator="greaterThan">
      <formula>$E$29*0.1</formula>
    </cfRule>
  </conditionalFormatting>
  <conditionalFormatting sqref="C13">
    <cfRule type="cellIs" dxfId="15" priority="7" stopIfTrue="1" operator="greaterThan">
      <formula>$C$15*0.1</formula>
    </cfRule>
  </conditionalFormatting>
  <conditionalFormatting sqref="D13">
    <cfRule type="cellIs" dxfId="14" priority="8" stopIfTrue="1" operator="greaterThan">
      <formula>$D$15*0.1</formula>
    </cfRule>
  </conditionalFormatting>
  <conditionalFormatting sqref="E13">
    <cfRule type="cellIs" dxfId="13" priority="9" stopIfTrue="1" operator="greaterThan">
      <formula>$E$15*0.1</formula>
    </cfRule>
  </conditionalFormatting>
  <conditionalFormatting sqref="C44">
    <cfRule type="cellIs" dxfId="12" priority="10" stopIfTrue="1" operator="greaterThan">
      <formula>$C$46*0.1</formula>
    </cfRule>
  </conditionalFormatting>
  <conditionalFormatting sqref="D44">
    <cfRule type="cellIs" dxfId="11" priority="11" stopIfTrue="1" operator="greaterThan">
      <formula>$D$46*0.1</formula>
    </cfRule>
  </conditionalFormatting>
  <conditionalFormatting sqref="E44">
    <cfRule type="cellIs" dxfId="10" priority="12" stopIfTrue="1" operator="greaterThan">
      <formula>$E$46*0.1</formula>
    </cfRule>
  </conditionalFormatting>
  <conditionalFormatting sqref="C58">
    <cfRule type="cellIs" dxfId="9" priority="13" stopIfTrue="1" operator="greaterThan">
      <formula>$C$60*0.1</formula>
    </cfRule>
  </conditionalFormatting>
  <conditionalFormatting sqref="D58">
    <cfRule type="cellIs" dxfId="8" priority="14" stopIfTrue="1" operator="greaterThan">
      <formula>$D$60*0.1</formula>
    </cfRule>
  </conditionalFormatting>
  <conditionalFormatting sqref="E58">
    <cfRule type="cellIs" dxfId="7" priority="15" stopIfTrue="1" operator="greaterThan">
      <formula>$E$60*0.1</formula>
    </cfRule>
  </conditionalFormatting>
  <conditionalFormatting sqref="E30 E61 C61 C30">
    <cfRule type="cellIs" dxfId="6" priority="16" stopIfTrue="1" operator="lessThan">
      <formula>0</formula>
    </cfRule>
  </conditionalFormatting>
  <conditionalFormatting sqref="D60">
    <cfRule type="cellIs" dxfId="5" priority="17" stopIfTrue="1" operator="greaterThan">
      <formula>$D$62</formula>
    </cfRule>
  </conditionalFormatting>
  <conditionalFormatting sqref="C60">
    <cfRule type="cellIs" dxfId="4" priority="18" stopIfTrue="1" operator="greaterThan">
      <formula>$C$62</formula>
    </cfRule>
  </conditionalFormatting>
  <conditionalFormatting sqref="D29">
    <cfRule type="cellIs" dxfId="3" priority="19" stopIfTrue="1" operator="greaterThan">
      <formula>$D$31</formula>
    </cfRule>
  </conditionalFormatting>
  <conditionalFormatting sqref="C29">
    <cfRule type="cellIs" dxfId="2" priority="20" stopIfTrue="1" operator="greaterThan">
      <formula>$C$31</formula>
    </cfRule>
  </conditionalFormatting>
  <conditionalFormatting sqref="D30">
    <cfRule type="cellIs" dxfId="1" priority="3" stopIfTrue="1" operator="lessThan">
      <formula>0</formula>
    </cfRule>
  </conditionalFormatting>
  <conditionalFormatting sqref="D61">
    <cfRule type="cellIs" dxfId="0" priority="1" stopIfTrue="1" operator="lessThan">
      <formula>0</formula>
    </cfRule>
  </conditionalFormatting>
  <pageMargins left="0.75" right="0.75" top="0.73" bottom="0.57999999999999996" header="0.41" footer="0.5"/>
  <pageSetup scale="67" orientation="portrait" blackAndWhite="1" r:id="rId1"/>
  <headerFooter alignWithMargins="0">
    <oddHeader>&amp;RState of Kansas
County</oddHeader>
  </headerFooter>
</worksheet>
</file>

<file path=xl/worksheets/sheet37.xml><?xml version="1.0" encoding="utf-8"?>
<worksheet xmlns="http://schemas.openxmlformats.org/spreadsheetml/2006/main" xmlns:r="http://schemas.openxmlformats.org/officeDocument/2006/relationships">
  <sheetPr>
    <pageSetUpPr fitToPage="1"/>
  </sheetPr>
  <dimension ref="A1:L41"/>
  <sheetViews>
    <sheetView topLeftCell="A4" workbookViewId="0">
      <selection activeCell="F8" sqref="F8"/>
    </sheetView>
  </sheetViews>
  <sheetFormatPr defaultRowHeight="15.75"/>
  <cols>
    <col min="1" max="1" width="11.5546875" style="71" customWidth="1"/>
    <col min="2" max="2" width="7.44140625" style="71" customWidth="1"/>
    <col min="3" max="3" width="11.5546875" style="71" customWidth="1"/>
    <col min="4" max="4" width="7.44140625" style="71" customWidth="1"/>
    <col min="5" max="5" width="11.5546875" style="71" customWidth="1"/>
    <col min="6" max="6" width="7.44140625" style="71" customWidth="1"/>
    <col min="7" max="7" width="11.5546875" style="71" customWidth="1"/>
    <col min="8" max="8" width="7.44140625" style="71" customWidth="1"/>
    <col min="9" max="9" width="11.5546875" style="71" customWidth="1"/>
    <col min="10" max="16384" width="8.88671875" style="71"/>
  </cols>
  <sheetData>
    <row r="1" spans="1:11">
      <c r="A1" s="143" t="str">
        <f>inputPrYr!$C$2</f>
        <v>Lyon County</v>
      </c>
      <c r="B1" s="355"/>
      <c r="C1" s="124"/>
      <c r="D1" s="124"/>
      <c r="E1" s="124"/>
      <c r="F1" s="356" t="s">
        <v>14</v>
      </c>
      <c r="G1" s="124"/>
      <c r="H1" s="124"/>
      <c r="I1" s="124"/>
      <c r="J1" s="124"/>
      <c r="K1" s="124">
        <f>inputPrYr!$C$4</f>
        <v>2014</v>
      </c>
    </row>
    <row r="2" spans="1:11">
      <c r="A2" s="124"/>
      <c r="B2" s="124"/>
      <c r="C2" s="124"/>
      <c r="D2" s="124"/>
      <c r="E2" s="124"/>
      <c r="F2" s="357" t="str">
        <f>CONCATENATE("(Only the actual budget year for ",K1-2," is to be shown)")</f>
        <v>(Only the actual budget year for 2012 is to be shown)</v>
      </c>
      <c r="G2" s="124"/>
      <c r="H2" s="124"/>
      <c r="I2" s="124"/>
      <c r="J2" s="124"/>
      <c r="K2" s="124"/>
    </row>
    <row r="3" spans="1:11">
      <c r="A3" s="124" t="s">
        <v>15</v>
      </c>
      <c r="B3" s="124"/>
      <c r="C3" s="124"/>
      <c r="D3" s="124"/>
      <c r="E3" s="124"/>
      <c r="F3" s="355"/>
      <c r="G3" s="124"/>
      <c r="H3" s="124"/>
      <c r="I3" s="124"/>
      <c r="J3" s="124"/>
      <c r="K3" s="124"/>
    </row>
    <row r="4" spans="1:11">
      <c r="A4" s="124" t="s">
        <v>16</v>
      </c>
      <c r="B4" s="124"/>
      <c r="C4" s="124" t="s">
        <v>17</v>
      </c>
      <c r="D4" s="124"/>
      <c r="E4" s="124" t="s">
        <v>18</v>
      </c>
      <c r="F4" s="355"/>
      <c r="G4" s="124" t="s">
        <v>19</v>
      </c>
      <c r="H4" s="124"/>
      <c r="I4" s="124" t="s">
        <v>20</v>
      </c>
      <c r="J4" s="124"/>
      <c r="K4" s="124"/>
    </row>
    <row r="5" spans="1:11">
      <c r="A5" s="812" t="str">
        <f>IF(inputPrYr!B62&gt;" ",(inputPrYr!B62)," ")</f>
        <v>DOE CDBG Grant (22)</v>
      </c>
      <c r="B5" s="813"/>
      <c r="C5" s="812" t="str">
        <f>IF(inputPrYr!B63&gt;" ",(inputPrYr!B63)," ")</f>
        <v>FEMA Grant (24)</v>
      </c>
      <c r="D5" s="813"/>
      <c r="E5" s="812" t="str">
        <f>IF(inputPrYr!B64&gt;" ",(inputPrYr!B64)," ")</f>
        <v>Drug Court (81)</v>
      </c>
      <c r="F5" s="813"/>
      <c r="G5" s="810" t="str">
        <f>IF(inputPrYr!B65&gt;" ",(inputPrYr!B65)," ")</f>
        <v>Drug Tax Law Enforce Trust (82)</v>
      </c>
      <c r="H5" s="811"/>
      <c r="I5" s="810" t="str">
        <f>IF(inputPrYr!B66&gt;" ",(inputPrYr!B66)," ")</f>
        <v>Special Law Enforcement KSA (84)</v>
      </c>
      <c r="J5" s="811"/>
      <c r="K5" s="359"/>
    </row>
    <row r="6" spans="1:11">
      <c r="A6" s="360" t="s">
        <v>21</v>
      </c>
      <c r="B6" s="361"/>
      <c r="C6" s="362" t="s">
        <v>21</v>
      </c>
      <c r="D6" s="363"/>
      <c r="E6" s="362" t="s">
        <v>21</v>
      </c>
      <c r="F6" s="358"/>
      <c r="G6" s="362" t="s">
        <v>21</v>
      </c>
      <c r="H6" s="364"/>
      <c r="I6" s="362" t="s">
        <v>21</v>
      </c>
      <c r="J6" s="124"/>
      <c r="K6" s="365" t="s">
        <v>132</v>
      </c>
    </row>
    <row r="7" spans="1:11">
      <c r="A7" s="366" t="s">
        <v>86</v>
      </c>
      <c r="B7" s="367">
        <v>0</v>
      </c>
      <c r="C7" s="368" t="s">
        <v>86</v>
      </c>
      <c r="D7" s="367">
        <v>0</v>
      </c>
      <c r="E7" s="368" t="s">
        <v>86</v>
      </c>
      <c r="F7" s="367">
        <v>0</v>
      </c>
      <c r="G7" s="368" t="s">
        <v>86</v>
      </c>
      <c r="H7" s="367">
        <v>6929</v>
      </c>
      <c r="I7" s="368" t="s">
        <v>86</v>
      </c>
      <c r="J7" s="367">
        <v>58501</v>
      </c>
      <c r="K7" s="369">
        <f>SUM(B7+D7+F7+H7+J7)</f>
        <v>65430</v>
      </c>
    </row>
    <row r="8" spans="1:11">
      <c r="A8" s="370" t="s">
        <v>280</v>
      </c>
      <c r="B8" s="371"/>
      <c r="C8" s="370" t="s">
        <v>280</v>
      </c>
      <c r="D8" s="372"/>
      <c r="E8" s="370" t="s">
        <v>280</v>
      </c>
      <c r="F8" s="355"/>
      <c r="G8" s="370" t="s">
        <v>280</v>
      </c>
      <c r="H8" s="124"/>
      <c r="I8" s="370" t="s">
        <v>280</v>
      </c>
      <c r="J8" s="124"/>
      <c r="K8" s="355"/>
    </row>
    <row r="9" spans="1:11">
      <c r="A9" s="373"/>
      <c r="B9" s="367"/>
      <c r="C9" s="373" t="s">
        <v>997</v>
      </c>
      <c r="D9" s="367">
        <v>0</v>
      </c>
      <c r="E9" s="373"/>
      <c r="F9" s="367"/>
      <c r="G9" s="373" t="s">
        <v>1019</v>
      </c>
      <c r="H9" s="367">
        <v>0</v>
      </c>
      <c r="I9" s="373" t="s">
        <v>1020</v>
      </c>
      <c r="J9" s="367">
        <v>0</v>
      </c>
      <c r="K9" s="355"/>
    </row>
    <row r="10" spans="1:11">
      <c r="A10" s="373"/>
      <c r="B10" s="367"/>
      <c r="C10" s="373"/>
      <c r="D10" s="367"/>
      <c r="E10" s="373"/>
      <c r="F10" s="367"/>
      <c r="G10" s="373"/>
      <c r="H10" s="367"/>
      <c r="I10" s="373"/>
      <c r="J10" s="367"/>
      <c r="K10" s="355"/>
    </row>
    <row r="11" spans="1:11">
      <c r="A11" s="373"/>
      <c r="B11" s="367"/>
      <c r="C11" s="374"/>
      <c r="D11" s="367"/>
      <c r="E11" s="374"/>
      <c r="F11" s="367"/>
      <c r="G11" s="374"/>
      <c r="H11" s="367"/>
      <c r="I11" s="375"/>
      <c r="J11" s="367"/>
      <c r="K11" s="355"/>
    </row>
    <row r="12" spans="1:11">
      <c r="A12" s="373"/>
      <c r="B12" s="367"/>
      <c r="C12" s="373"/>
      <c r="D12" s="367"/>
      <c r="E12" s="376"/>
      <c r="F12" s="367"/>
      <c r="G12" s="376"/>
      <c r="H12" s="367"/>
      <c r="I12" s="376"/>
      <c r="J12" s="367"/>
      <c r="K12" s="355"/>
    </row>
    <row r="13" spans="1:11">
      <c r="A13" s="377"/>
      <c r="B13" s="367"/>
      <c r="C13" s="378"/>
      <c r="D13" s="367"/>
      <c r="E13" s="378"/>
      <c r="F13" s="367"/>
      <c r="G13" s="378"/>
      <c r="H13" s="367"/>
      <c r="I13" s="375"/>
      <c r="J13" s="367"/>
      <c r="K13" s="355"/>
    </row>
    <row r="14" spans="1:11">
      <c r="A14" s="373"/>
      <c r="B14" s="367"/>
      <c r="C14" s="376"/>
      <c r="D14" s="367"/>
      <c r="E14" s="376"/>
      <c r="F14" s="367"/>
      <c r="G14" s="376"/>
      <c r="H14" s="367"/>
      <c r="I14" s="376"/>
      <c r="J14" s="367"/>
      <c r="K14" s="355"/>
    </row>
    <row r="15" spans="1:11">
      <c r="A15" s="373"/>
      <c r="B15" s="367"/>
      <c r="C15" s="376"/>
      <c r="D15" s="367"/>
      <c r="E15" s="376"/>
      <c r="F15" s="367"/>
      <c r="G15" s="376"/>
      <c r="H15" s="367"/>
      <c r="I15" s="376"/>
      <c r="J15" s="367"/>
      <c r="K15" s="355"/>
    </row>
    <row r="16" spans="1:11">
      <c r="A16" s="373"/>
      <c r="B16" s="367"/>
      <c r="C16" s="373"/>
      <c r="D16" s="367"/>
      <c r="E16" s="373"/>
      <c r="F16" s="367"/>
      <c r="G16" s="376"/>
      <c r="H16" s="367"/>
      <c r="I16" s="373"/>
      <c r="J16" s="367"/>
      <c r="K16" s="355"/>
    </row>
    <row r="17" spans="1:12">
      <c r="A17" s="370" t="s">
        <v>168</v>
      </c>
      <c r="B17" s="379">
        <f>SUM(B9:B16)</f>
        <v>0</v>
      </c>
      <c r="C17" s="370" t="s">
        <v>168</v>
      </c>
      <c r="D17" s="369">
        <f>SUM(D9:D16)</f>
        <v>0</v>
      </c>
      <c r="E17" s="370" t="s">
        <v>168</v>
      </c>
      <c r="F17" s="445">
        <f>SUM(F9:F16)</f>
        <v>0</v>
      </c>
      <c r="G17" s="370" t="s">
        <v>168</v>
      </c>
      <c r="H17" s="369">
        <f>SUM(H9:H16)</f>
        <v>0</v>
      </c>
      <c r="I17" s="370" t="s">
        <v>168</v>
      </c>
      <c r="J17" s="369">
        <f>SUM(J9:J16)</f>
        <v>0</v>
      </c>
      <c r="K17" s="369">
        <f>SUM(B17+D17+F17+H17+J17)</f>
        <v>0</v>
      </c>
    </row>
    <row r="18" spans="1:12">
      <c r="A18" s="370" t="s">
        <v>169</v>
      </c>
      <c r="B18" s="379">
        <f>SUM(B7+B17)</f>
        <v>0</v>
      </c>
      <c r="C18" s="370" t="s">
        <v>169</v>
      </c>
      <c r="D18" s="369">
        <f>SUM(D7+D17)</f>
        <v>0</v>
      </c>
      <c r="E18" s="370" t="s">
        <v>169</v>
      </c>
      <c r="F18" s="369">
        <f>SUM(F7+F17)</f>
        <v>0</v>
      </c>
      <c r="G18" s="370" t="s">
        <v>169</v>
      </c>
      <c r="H18" s="369">
        <f>SUM(H7+H17)</f>
        <v>6929</v>
      </c>
      <c r="I18" s="370" t="s">
        <v>169</v>
      </c>
      <c r="J18" s="369">
        <f>SUM(J7+J17)</f>
        <v>58501</v>
      </c>
      <c r="K18" s="369">
        <f>SUM(B18+D18+F18+H18+J18)</f>
        <v>65430</v>
      </c>
    </row>
    <row r="19" spans="1:12">
      <c r="A19" s="370" t="s">
        <v>172</v>
      </c>
      <c r="B19" s="371"/>
      <c r="C19" s="370" t="s">
        <v>172</v>
      </c>
      <c r="D19" s="372"/>
      <c r="E19" s="370" t="s">
        <v>172</v>
      </c>
      <c r="F19" s="355"/>
      <c r="G19" s="370" t="s">
        <v>172</v>
      </c>
      <c r="H19" s="124"/>
      <c r="I19" s="370" t="s">
        <v>172</v>
      </c>
      <c r="J19" s="124"/>
      <c r="K19" s="355"/>
    </row>
    <row r="20" spans="1:12">
      <c r="A20" s="373" t="s">
        <v>973</v>
      </c>
      <c r="B20" s="367">
        <v>0</v>
      </c>
      <c r="C20" s="376" t="s">
        <v>973</v>
      </c>
      <c r="D20" s="367">
        <v>0</v>
      </c>
      <c r="E20" s="376"/>
      <c r="F20" s="367"/>
      <c r="G20" s="376" t="s">
        <v>973</v>
      </c>
      <c r="H20" s="367">
        <v>24</v>
      </c>
      <c r="I20" s="376" t="s">
        <v>973</v>
      </c>
      <c r="J20" s="367">
        <v>6098</v>
      </c>
      <c r="K20" s="355"/>
    </row>
    <row r="21" spans="1:12">
      <c r="A21" s="373"/>
      <c r="B21" s="367"/>
      <c r="C21" s="376"/>
      <c r="D21" s="367"/>
      <c r="E21" s="376"/>
      <c r="F21" s="367"/>
      <c r="G21" s="376" t="s">
        <v>974</v>
      </c>
      <c r="H21" s="367">
        <v>0</v>
      </c>
      <c r="I21" s="376" t="s">
        <v>974</v>
      </c>
      <c r="J21" s="367">
        <v>0</v>
      </c>
      <c r="K21" s="355"/>
    </row>
    <row r="22" spans="1:12">
      <c r="A22" s="373"/>
      <c r="B22" s="367"/>
      <c r="C22" s="378"/>
      <c r="D22" s="367"/>
      <c r="E22" s="378"/>
      <c r="F22" s="367"/>
      <c r="G22" s="378" t="s">
        <v>1117</v>
      </c>
      <c r="H22" s="367">
        <v>1166</v>
      </c>
      <c r="I22" s="375" t="s">
        <v>975</v>
      </c>
      <c r="J22" s="367">
        <v>0</v>
      </c>
      <c r="K22" s="355"/>
    </row>
    <row r="23" spans="1:12">
      <c r="A23" s="373"/>
      <c r="B23" s="367"/>
      <c r="C23" s="376"/>
      <c r="D23" s="367"/>
      <c r="E23" s="376"/>
      <c r="F23" s="367"/>
      <c r="G23" s="376"/>
      <c r="H23" s="367"/>
      <c r="I23" s="376"/>
      <c r="J23" s="367"/>
      <c r="K23" s="355"/>
    </row>
    <row r="24" spans="1:12">
      <c r="A24" s="373"/>
      <c r="B24" s="367"/>
      <c r="C24" s="378"/>
      <c r="D24" s="367"/>
      <c r="E24" s="378"/>
      <c r="F24" s="367"/>
      <c r="G24" s="378"/>
      <c r="H24" s="367"/>
      <c r="I24" s="375"/>
      <c r="J24" s="367"/>
      <c r="K24" s="355"/>
    </row>
    <row r="25" spans="1:12">
      <c r="A25" s="373"/>
      <c r="B25" s="367"/>
      <c r="C25" s="376"/>
      <c r="D25" s="367"/>
      <c r="E25" s="376"/>
      <c r="F25" s="367"/>
      <c r="G25" s="376"/>
      <c r="H25" s="367"/>
      <c r="I25" s="376"/>
      <c r="J25" s="367"/>
      <c r="K25" s="355"/>
    </row>
    <row r="26" spans="1:12">
      <c r="A26" s="373"/>
      <c r="B26" s="367"/>
      <c r="C26" s="376"/>
      <c r="D26" s="367"/>
      <c r="E26" s="376"/>
      <c r="F26" s="367"/>
      <c r="G26" s="376"/>
      <c r="H26" s="367"/>
      <c r="I26" s="376"/>
      <c r="J26" s="367"/>
      <c r="K26" s="355"/>
    </row>
    <row r="27" spans="1:12">
      <c r="A27" s="373"/>
      <c r="B27" s="367"/>
      <c r="C27" s="373"/>
      <c r="D27" s="367"/>
      <c r="E27" s="373"/>
      <c r="F27" s="367"/>
      <c r="G27" s="376"/>
      <c r="H27" s="367"/>
      <c r="I27" s="376"/>
      <c r="J27" s="367"/>
      <c r="K27" s="355"/>
    </row>
    <row r="28" spans="1:12">
      <c r="A28" s="370" t="s">
        <v>173</v>
      </c>
      <c r="B28" s="369">
        <f>SUM(B20:B27)</f>
        <v>0</v>
      </c>
      <c r="C28" s="370" t="s">
        <v>173</v>
      </c>
      <c r="D28" s="369">
        <f>SUM(D20:D27)</f>
        <v>0</v>
      </c>
      <c r="E28" s="370" t="s">
        <v>173</v>
      </c>
      <c r="F28" s="445">
        <f>SUM(F20:F27)</f>
        <v>0</v>
      </c>
      <c r="G28" s="370" t="s">
        <v>173</v>
      </c>
      <c r="H28" s="445">
        <f>SUM(H20:H27)</f>
        <v>1190</v>
      </c>
      <c r="I28" s="370" t="s">
        <v>173</v>
      </c>
      <c r="J28" s="369">
        <f>SUM(J20:J27)</f>
        <v>6098</v>
      </c>
      <c r="K28" s="369">
        <f>SUM(B28+D28+F28+H28+J28)</f>
        <v>7288</v>
      </c>
    </row>
    <row r="29" spans="1:12">
      <c r="A29" s="370" t="s">
        <v>22</v>
      </c>
      <c r="B29" s="369">
        <f>B18-B28</f>
        <v>0</v>
      </c>
      <c r="C29" s="370" t="s">
        <v>22</v>
      </c>
      <c r="D29" s="369">
        <f>D18-D28</f>
        <v>0</v>
      </c>
      <c r="E29" s="370" t="s">
        <v>22</v>
      </c>
      <c r="F29" s="369">
        <f>F18-F28</f>
        <v>0</v>
      </c>
      <c r="G29" s="370" t="s">
        <v>22</v>
      </c>
      <c r="H29" s="369">
        <f>H18-H28</f>
        <v>5739</v>
      </c>
      <c r="I29" s="370" t="s">
        <v>22</v>
      </c>
      <c r="J29" s="369">
        <f>J18-J28</f>
        <v>52403</v>
      </c>
      <c r="K29" s="380">
        <f>SUM(B29+D29+F29+H29+J29)</f>
        <v>58142</v>
      </c>
      <c r="L29" s="71" t="s">
        <v>63</v>
      </c>
    </row>
    <row r="30" spans="1:12">
      <c r="A30" s="370"/>
      <c r="B30" s="411" t="str">
        <f>IF(B29&lt;0,"See Tab B","")</f>
        <v/>
      </c>
      <c r="C30" s="370"/>
      <c r="D30" s="411" t="str">
        <f>IF(D29&lt;0,"See Tab B","")</f>
        <v/>
      </c>
      <c r="E30" s="370"/>
      <c r="F30" s="411" t="str">
        <f>IF(F29&lt;0,"See Tab B","")</f>
        <v/>
      </c>
      <c r="G30" s="124"/>
      <c r="H30" s="411" t="str">
        <f>IF(H29&lt;0,"See Tab B","")</f>
        <v/>
      </c>
      <c r="I30" s="124"/>
      <c r="J30" s="411" t="str">
        <f>IF(J29&lt;0,"See Tab B","")</f>
        <v/>
      </c>
      <c r="K30" s="380">
        <f>SUM(K7+K17-K28)</f>
        <v>58142</v>
      </c>
      <c r="L30" s="71" t="s">
        <v>63</v>
      </c>
    </row>
    <row r="31" spans="1:12">
      <c r="A31" s="124"/>
      <c r="B31" s="381"/>
      <c r="C31" s="124"/>
      <c r="D31" s="355"/>
      <c r="E31" s="124"/>
      <c r="F31" s="124"/>
      <c r="G31" s="81" t="s">
        <v>64</v>
      </c>
      <c r="H31" s="81"/>
      <c r="I31" s="81"/>
      <c r="J31" s="81"/>
      <c r="K31" s="124"/>
    </row>
    <row r="32" spans="1:12">
      <c r="A32" s="124"/>
      <c r="B32" s="381"/>
      <c r="C32" s="124"/>
      <c r="D32" s="124"/>
      <c r="E32" s="124"/>
      <c r="F32" s="124"/>
      <c r="G32" s="124"/>
      <c r="H32" s="124"/>
      <c r="I32" s="124"/>
      <c r="J32" s="124"/>
      <c r="K32" s="124"/>
    </row>
    <row r="33" spans="1:11">
      <c r="A33" s="124"/>
      <c r="B33" s="381"/>
      <c r="C33" s="124"/>
      <c r="D33" s="124"/>
      <c r="E33" s="320" t="s">
        <v>188</v>
      </c>
      <c r="F33" s="347">
        <v>24</v>
      </c>
      <c r="G33" s="124"/>
      <c r="H33" s="124"/>
      <c r="I33" s="124"/>
      <c r="J33" s="124"/>
      <c r="K33" s="124"/>
    </row>
    <row r="34" spans="1:11">
      <c r="B34" s="382"/>
    </row>
    <row r="35" spans="1:11">
      <c r="B35" s="382"/>
      <c r="H35" s="382"/>
    </row>
    <row r="36" spans="1:11">
      <c r="B36" s="382"/>
    </row>
    <row r="37" spans="1:11">
      <c r="B37" s="382"/>
    </row>
    <row r="38" spans="1:11">
      <c r="B38" s="382"/>
    </row>
    <row r="39" spans="1:11">
      <c r="B39" s="382"/>
    </row>
    <row r="40" spans="1:11">
      <c r="B40" s="382"/>
    </row>
    <row r="41" spans="1:11">
      <c r="B41" s="382"/>
    </row>
  </sheetData>
  <mergeCells count="5">
    <mergeCell ref="I5:J5"/>
    <mergeCell ref="A5:B5"/>
    <mergeCell ref="C5:D5"/>
    <mergeCell ref="E5:F5"/>
    <mergeCell ref="G5:H5"/>
  </mergeCells>
  <phoneticPr fontId="8" type="noConversion"/>
  <pageMargins left="0.75" right="0.75" top="1" bottom="1" header="0.5" footer="0.5"/>
  <pageSetup scale="88" orientation="landscape" blackAndWhite="1" r:id="rId1"/>
  <headerFooter alignWithMargins="0">
    <oddHeader>&amp;RState of Kansas
County</oddHeader>
  </headerFooter>
</worksheet>
</file>

<file path=xl/worksheets/sheet38.xml><?xml version="1.0" encoding="utf-8"?>
<worksheet xmlns="http://schemas.openxmlformats.org/spreadsheetml/2006/main" xmlns:r="http://schemas.openxmlformats.org/officeDocument/2006/relationships">
  <sheetPr>
    <pageSetUpPr fitToPage="1"/>
  </sheetPr>
  <dimension ref="A1:L41"/>
  <sheetViews>
    <sheetView topLeftCell="A2" workbookViewId="0">
      <selection activeCell="G37" sqref="G36:G37"/>
    </sheetView>
  </sheetViews>
  <sheetFormatPr defaultRowHeight="15.75"/>
  <cols>
    <col min="1" max="1" width="11.5546875" style="71" customWidth="1"/>
    <col min="2" max="2" width="7.44140625" style="71" customWidth="1"/>
    <col min="3" max="3" width="11.5546875" style="71" customWidth="1"/>
    <col min="4" max="4" width="7.44140625" style="71" customWidth="1"/>
    <col min="5" max="5" width="11.5546875" style="71" customWidth="1"/>
    <col min="6" max="6" width="7.44140625" style="71" customWidth="1"/>
    <col min="7" max="7" width="11.5546875" style="71" customWidth="1"/>
    <col min="8" max="8" width="7.44140625" style="71" customWidth="1"/>
    <col min="9" max="9" width="11.5546875" style="71" customWidth="1"/>
    <col min="10" max="16384" width="8.88671875" style="71"/>
  </cols>
  <sheetData>
    <row r="1" spans="1:11">
      <c r="A1" s="143" t="str">
        <f>inputPrYr!$C$2</f>
        <v>Lyon County</v>
      </c>
      <c r="B1" s="355"/>
      <c r="C1" s="124"/>
      <c r="D1" s="124"/>
      <c r="E1" s="124"/>
      <c r="F1" s="356" t="s">
        <v>23</v>
      </c>
      <c r="G1" s="124"/>
      <c r="H1" s="124"/>
      <c r="I1" s="124"/>
      <c r="J1" s="124"/>
      <c r="K1" s="124">
        <f>inputPrYr!$C$4</f>
        <v>2014</v>
      </c>
    </row>
    <row r="2" spans="1:11">
      <c r="A2" s="124"/>
      <c r="B2" s="124"/>
      <c r="C2" s="124"/>
      <c r="D2" s="124"/>
      <c r="E2" s="124"/>
      <c r="F2" s="357" t="str">
        <f>CONCATENATE("(Only the actual budget year for ",K1-2," is to be shown)")</f>
        <v>(Only the actual budget year for 2012 is to be shown)</v>
      </c>
      <c r="G2" s="124"/>
      <c r="H2" s="124"/>
      <c r="I2" s="124"/>
      <c r="J2" s="124"/>
      <c r="K2" s="124"/>
    </row>
    <row r="3" spans="1:11">
      <c r="A3" s="124" t="s">
        <v>24</v>
      </c>
      <c r="B3" s="124"/>
      <c r="C3" s="124"/>
      <c r="D3" s="124"/>
      <c r="E3" s="124"/>
      <c r="F3" s="355"/>
      <c r="G3" s="124"/>
      <c r="H3" s="124"/>
      <c r="I3" s="124"/>
      <c r="J3" s="124"/>
      <c r="K3" s="124"/>
    </row>
    <row r="4" spans="1:11">
      <c r="A4" s="124" t="s">
        <v>16</v>
      </c>
      <c r="B4" s="124"/>
      <c r="C4" s="124" t="s">
        <v>17</v>
      </c>
      <c r="D4" s="124"/>
      <c r="E4" s="124" t="s">
        <v>18</v>
      </c>
      <c r="F4" s="355"/>
      <c r="G4" s="124" t="s">
        <v>19</v>
      </c>
      <c r="H4" s="124"/>
      <c r="I4" s="124" t="s">
        <v>20</v>
      </c>
      <c r="J4" s="124"/>
      <c r="K4" s="124"/>
    </row>
    <row r="5" spans="1:11">
      <c r="A5" s="810" t="str">
        <f>IF(inputPrYr!B68&gt;" ",(inputPrYr!B68)," ")</f>
        <v>Special Prosecutor Forfeiture (85)</v>
      </c>
      <c r="B5" s="811"/>
      <c r="C5" s="810" t="str">
        <f>IF(inputPrYr!B69&gt;" ",(inputPrYr!B69)," ")</f>
        <v>Diversionary Service Fees (86)</v>
      </c>
      <c r="D5" s="811"/>
      <c r="E5" s="810" t="str">
        <f>IF(inputPrYr!B70&gt;" ",(inputPrYr!B70)," ")</f>
        <v>Worthless Check Trust Fund (87)</v>
      </c>
      <c r="F5" s="811"/>
      <c r="G5" s="810" t="str">
        <f>IF(inputPrYr!B71&gt;" ",(inputPrYr!B71)," ")</f>
        <v>Federal Forfeiture Fund (89)</v>
      </c>
      <c r="H5" s="811"/>
      <c r="I5" s="810" t="str">
        <f>IF(inputPrYr!B72&gt;" ",(inputPrYr!B72)," ")</f>
        <v>CDBG Water District Grant (21)</v>
      </c>
      <c r="J5" s="811"/>
      <c r="K5" s="359"/>
    </row>
    <row r="6" spans="1:11">
      <c r="A6" s="360" t="s">
        <v>21</v>
      </c>
      <c r="B6" s="361"/>
      <c r="C6" s="362" t="s">
        <v>21</v>
      </c>
      <c r="D6" s="363"/>
      <c r="E6" s="362" t="s">
        <v>21</v>
      </c>
      <c r="F6" s="358"/>
      <c r="G6" s="362" t="s">
        <v>21</v>
      </c>
      <c r="H6" s="364"/>
      <c r="I6" s="362" t="s">
        <v>21</v>
      </c>
      <c r="J6" s="124"/>
      <c r="K6" s="365" t="s">
        <v>132</v>
      </c>
    </row>
    <row r="7" spans="1:11">
      <c r="A7" s="366" t="s">
        <v>86</v>
      </c>
      <c r="B7" s="367">
        <v>16870</v>
      </c>
      <c r="C7" s="368" t="s">
        <v>86</v>
      </c>
      <c r="D7" s="367">
        <v>71016</v>
      </c>
      <c r="E7" s="368" t="s">
        <v>86</v>
      </c>
      <c r="F7" s="367">
        <v>510</v>
      </c>
      <c r="G7" s="368" t="s">
        <v>86</v>
      </c>
      <c r="H7" s="367">
        <v>35173</v>
      </c>
      <c r="I7" s="368" t="s">
        <v>86</v>
      </c>
      <c r="J7" s="367">
        <v>1</v>
      </c>
      <c r="K7" s="369">
        <f>SUM(B7+D7+F7+H7+J7)</f>
        <v>123570</v>
      </c>
    </row>
    <row r="8" spans="1:11">
      <c r="A8" s="370" t="s">
        <v>280</v>
      </c>
      <c r="B8" s="371"/>
      <c r="C8" s="370" t="s">
        <v>280</v>
      </c>
      <c r="D8" s="372"/>
      <c r="E8" s="370" t="s">
        <v>280</v>
      </c>
      <c r="F8" s="355"/>
      <c r="G8" s="370" t="s">
        <v>280</v>
      </c>
      <c r="H8" s="124"/>
      <c r="I8" s="370" t="s">
        <v>280</v>
      </c>
      <c r="J8" s="124"/>
      <c r="K8" s="355"/>
    </row>
    <row r="9" spans="1:11">
      <c r="A9" s="373" t="s">
        <v>1021</v>
      </c>
      <c r="B9" s="367">
        <v>4282</v>
      </c>
      <c r="C9" s="373" t="s">
        <v>1020</v>
      </c>
      <c r="D9" s="367">
        <v>87909</v>
      </c>
      <c r="E9" s="373" t="s">
        <v>1020</v>
      </c>
      <c r="F9" s="367">
        <v>195</v>
      </c>
      <c r="G9" s="373" t="s">
        <v>219</v>
      </c>
      <c r="H9" s="367">
        <v>8</v>
      </c>
      <c r="I9" s="373" t="s">
        <v>1020</v>
      </c>
      <c r="J9" s="367">
        <v>9522</v>
      </c>
      <c r="K9" s="355"/>
    </row>
    <row r="10" spans="1:11">
      <c r="A10" s="373"/>
      <c r="B10" s="367"/>
      <c r="C10" s="373"/>
      <c r="D10" s="367"/>
      <c r="E10" s="373"/>
      <c r="F10" s="367"/>
      <c r="G10" s="373" t="s">
        <v>1020</v>
      </c>
      <c r="H10" s="367">
        <v>12798</v>
      </c>
      <c r="I10" s="373"/>
      <c r="J10" s="367"/>
      <c r="K10" s="355"/>
    </row>
    <row r="11" spans="1:11">
      <c r="A11" s="373"/>
      <c r="B11" s="367"/>
      <c r="C11" s="374"/>
      <c r="D11" s="367"/>
      <c r="E11" s="374"/>
      <c r="F11" s="367"/>
      <c r="G11" s="374"/>
      <c r="H11" s="367"/>
      <c r="I11" s="375"/>
      <c r="J11" s="367"/>
      <c r="K11" s="355"/>
    </row>
    <row r="12" spans="1:11">
      <c r="A12" s="373"/>
      <c r="B12" s="367"/>
      <c r="C12" s="373"/>
      <c r="D12" s="367"/>
      <c r="E12" s="376"/>
      <c r="F12" s="367"/>
      <c r="G12" s="376"/>
      <c r="H12" s="367"/>
      <c r="I12" s="376"/>
      <c r="J12" s="367"/>
      <c r="K12" s="355"/>
    </row>
    <row r="13" spans="1:11">
      <c r="A13" s="377"/>
      <c r="B13" s="367"/>
      <c r="C13" s="378"/>
      <c r="D13" s="367"/>
      <c r="E13" s="378"/>
      <c r="F13" s="367"/>
      <c r="G13" s="378"/>
      <c r="H13" s="367"/>
      <c r="I13" s="375"/>
      <c r="J13" s="367"/>
      <c r="K13" s="355"/>
    </row>
    <row r="14" spans="1:11">
      <c r="A14" s="373"/>
      <c r="B14" s="367"/>
      <c r="C14" s="376"/>
      <c r="D14" s="367"/>
      <c r="E14" s="376"/>
      <c r="F14" s="367"/>
      <c r="G14" s="376"/>
      <c r="H14" s="367"/>
      <c r="I14" s="376"/>
      <c r="J14" s="367"/>
      <c r="K14" s="355"/>
    </row>
    <row r="15" spans="1:11">
      <c r="A15" s="373"/>
      <c r="B15" s="367"/>
      <c r="C15" s="376"/>
      <c r="D15" s="367"/>
      <c r="E15" s="376"/>
      <c r="F15" s="367"/>
      <c r="G15" s="376"/>
      <c r="H15" s="367"/>
      <c r="I15" s="376"/>
      <c r="J15" s="367"/>
      <c r="K15" s="355"/>
    </row>
    <row r="16" spans="1:11">
      <c r="A16" s="373"/>
      <c r="B16" s="367"/>
      <c r="C16" s="373"/>
      <c r="D16" s="367"/>
      <c r="E16" s="373"/>
      <c r="F16" s="367"/>
      <c r="G16" s="376"/>
      <c r="H16" s="367"/>
      <c r="I16" s="373"/>
      <c r="J16" s="367"/>
      <c r="K16" s="355"/>
    </row>
    <row r="17" spans="1:12">
      <c r="A17" s="370" t="s">
        <v>168</v>
      </c>
      <c r="B17" s="369">
        <f>SUM(B9:B16)</f>
        <v>4282</v>
      </c>
      <c r="C17" s="370" t="s">
        <v>168</v>
      </c>
      <c r="D17" s="369">
        <f>SUM(D9:D16)</f>
        <v>87909</v>
      </c>
      <c r="E17" s="370" t="s">
        <v>168</v>
      </c>
      <c r="F17" s="445">
        <f>SUM(F9:F16)</f>
        <v>195</v>
      </c>
      <c r="G17" s="370" t="s">
        <v>168</v>
      </c>
      <c r="H17" s="369">
        <f>SUM(H9:H16)</f>
        <v>12806</v>
      </c>
      <c r="I17" s="370" t="s">
        <v>168</v>
      </c>
      <c r="J17" s="369">
        <f>SUM(J9:J16)</f>
        <v>9522</v>
      </c>
      <c r="K17" s="369">
        <f>SUM(B17+D17+F17+H17+J17)</f>
        <v>114714</v>
      </c>
    </row>
    <row r="18" spans="1:12">
      <c r="A18" s="370" t="s">
        <v>169</v>
      </c>
      <c r="B18" s="369">
        <f>SUM(B7+B17)</f>
        <v>21152</v>
      </c>
      <c r="C18" s="370" t="s">
        <v>169</v>
      </c>
      <c r="D18" s="369">
        <f>SUM(D7+D17)</f>
        <v>158925</v>
      </c>
      <c r="E18" s="370" t="s">
        <v>169</v>
      </c>
      <c r="F18" s="369">
        <f>SUM(F7+F17)</f>
        <v>705</v>
      </c>
      <c r="G18" s="370" t="s">
        <v>169</v>
      </c>
      <c r="H18" s="369">
        <f>SUM(H7+H17)</f>
        <v>47979</v>
      </c>
      <c r="I18" s="370" t="s">
        <v>169</v>
      </c>
      <c r="J18" s="369">
        <f>SUM(J7+J17)</f>
        <v>9523</v>
      </c>
      <c r="K18" s="369">
        <f>SUM(B18+D18+F18+H18+J18)</f>
        <v>238284</v>
      </c>
    </row>
    <row r="19" spans="1:12">
      <c r="A19" s="370" t="s">
        <v>172</v>
      </c>
      <c r="B19" s="371"/>
      <c r="C19" s="370" t="s">
        <v>172</v>
      </c>
      <c r="D19" s="372"/>
      <c r="E19" s="370" t="s">
        <v>172</v>
      </c>
      <c r="F19" s="355"/>
      <c r="G19" s="370" t="s">
        <v>172</v>
      </c>
      <c r="H19" s="124"/>
      <c r="I19" s="370" t="s">
        <v>172</v>
      </c>
      <c r="J19" s="124"/>
      <c r="K19" s="355"/>
    </row>
    <row r="20" spans="1:12">
      <c r="A20" s="373" t="s">
        <v>973</v>
      </c>
      <c r="B20" s="367">
        <v>9331</v>
      </c>
      <c r="C20" s="376" t="s">
        <v>973</v>
      </c>
      <c r="D20" s="367">
        <v>50510</v>
      </c>
      <c r="E20" s="376"/>
      <c r="F20" s="367"/>
      <c r="G20" s="376" t="s">
        <v>973</v>
      </c>
      <c r="H20" s="367">
        <v>1853</v>
      </c>
      <c r="I20" s="376" t="s">
        <v>973</v>
      </c>
      <c r="J20" s="367">
        <v>9523</v>
      </c>
      <c r="K20" s="355"/>
    </row>
    <row r="21" spans="1:12">
      <c r="A21" s="376" t="s">
        <v>975</v>
      </c>
      <c r="B21" s="367">
        <v>7080</v>
      </c>
      <c r="C21" s="376" t="s">
        <v>974</v>
      </c>
      <c r="D21" s="367">
        <v>9483</v>
      </c>
      <c r="E21" s="376"/>
      <c r="F21" s="367"/>
      <c r="G21" s="376"/>
      <c r="H21" s="367"/>
      <c r="I21" s="376"/>
      <c r="J21" s="367"/>
      <c r="K21" s="355"/>
    </row>
    <row r="22" spans="1:12">
      <c r="A22" s="373"/>
      <c r="B22" s="367"/>
      <c r="C22" s="378" t="s">
        <v>187</v>
      </c>
      <c r="D22" s="367">
        <v>0</v>
      </c>
      <c r="E22" s="378"/>
      <c r="F22" s="367"/>
      <c r="G22" s="378"/>
      <c r="H22" s="367"/>
      <c r="I22" s="375"/>
      <c r="J22" s="367"/>
      <c r="K22" s="355"/>
    </row>
    <row r="23" spans="1:12">
      <c r="A23" s="373"/>
      <c r="B23" s="367"/>
      <c r="C23" s="376" t="s">
        <v>975</v>
      </c>
      <c r="D23" s="367">
        <v>20107</v>
      </c>
      <c r="E23" s="376"/>
      <c r="F23" s="367"/>
      <c r="G23" s="376"/>
      <c r="H23" s="367"/>
      <c r="I23" s="376"/>
      <c r="J23" s="367"/>
      <c r="K23" s="355"/>
    </row>
    <row r="24" spans="1:12">
      <c r="A24" s="373"/>
      <c r="B24" s="367"/>
      <c r="C24" s="378" t="s">
        <v>991</v>
      </c>
      <c r="D24" s="367">
        <v>16000</v>
      </c>
      <c r="E24" s="378"/>
      <c r="F24" s="367"/>
      <c r="G24" s="378"/>
      <c r="H24" s="367"/>
      <c r="I24" s="375"/>
      <c r="J24" s="367"/>
      <c r="K24" s="355"/>
    </row>
    <row r="25" spans="1:12">
      <c r="A25" s="373"/>
      <c r="B25" s="367"/>
      <c r="C25" s="376"/>
      <c r="D25" s="367"/>
      <c r="E25" s="376"/>
      <c r="F25" s="367"/>
      <c r="G25" s="376"/>
      <c r="H25" s="367"/>
      <c r="I25" s="376"/>
      <c r="J25" s="367"/>
      <c r="K25" s="355"/>
    </row>
    <row r="26" spans="1:12">
      <c r="A26" s="373"/>
      <c r="B26" s="367"/>
      <c r="C26" s="376"/>
      <c r="D26" s="367"/>
      <c r="E26" s="376"/>
      <c r="F26" s="367"/>
      <c r="G26" s="376"/>
      <c r="H26" s="367"/>
      <c r="I26" s="376"/>
      <c r="J26" s="367"/>
      <c r="K26" s="355"/>
    </row>
    <row r="27" spans="1:12">
      <c r="A27" s="373"/>
      <c r="B27" s="367"/>
      <c r="C27" s="373"/>
      <c r="D27" s="367"/>
      <c r="E27" s="373"/>
      <c r="F27" s="367"/>
      <c r="G27" s="376"/>
      <c r="H27" s="367"/>
      <c r="I27" s="376"/>
      <c r="J27" s="367"/>
      <c r="K27" s="355"/>
    </row>
    <row r="28" spans="1:12">
      <c r="A28" s="370" t="s">
        <v>173</v>
      </c>
      <c r="B28" s="369">
        <f>SUM(B20:B27)</f>
        <v>16411</v>
      </c>
      <c r="C28" s="370" t="s">
        <v>173</v>
      </c>
      <c r="D28" s="369">
        <f>SUM(D20:D27)</f>
        <v>96100</v>
      </c>
      <c r="E28" s="370" t="s">
        <v>173</v>
      </c>
      <c r="F28" s="445">
        <f>SUM(F20:F27)</f>
        <v>0</v>
      </c>
      <c r="G28" s="370" t="s">
        <v>173</v>
      </c>
      <c r="H28" s="445">
        <f>SUM(H20:H27)</f>
        <v>1853</v>
      </c>
      <c r="I28" s="370" t="s">
        <v>173</v>
      </c>
      <c r="J28" s="369">
        <f>SUM(J20:J27)</f>
        <v>9523</v>
      </c>
      <c r="K28" s="369">
        <f>SUM(B28+D28+F28+H28+J28)</f>
        <v>123887</v>
      </c>
    </row>
    <row r="29" spans="1:12">
      <c r="A29" s="370" t="s">
        <v>22</v>
      </c>
      <c r="B29" s="369">
        <f>B18-B28</f>
        <v>4741</v>
      </c>
      <c r="C29" s="370" t="s">
        <v>22</v>
      </c>
      <c r="D29" s="369">
        <f>D18-D28</f>
        <v>62825</v>
      </c>
      <c r="E29" s="370" t="s">
        <v>22</v>
      </c>
      <c r="F29" s="369">
        <f>F18-F28</f>
        <v>705</v>
      </c>
      <c r="G29" s="370" t="s">
        <v>22</v>
      </c>
      <c r="H29" s="369">
        <f>H18-H28</f>
        <v>46126</v>
      </c>
      <c r="I29" s="370" t="s">
        <v>22</v>
      </c>
      <c r="J29" s="369">
        <f>J18-J28</f>
        <v>0</v>
      </c>
      <c r="K29" s="380">
        <f>SUM(B29+D29+F29+H29+J29)</f>
        <v>114397</v>
      </c>
      <c r="L29" s="71" t="s">
        <v>63</v>
      </c>
    </row>
    <row r="30" spans="1:12">
      <c r="A30" s="370"/>
      <c r="B30" s="411" t="str">
        <f>IF(B29&lt;0,"See Tab B","")</f>
        <v/>
      </c>
      <c r="C30" s="370"/>
      <c r="D30" s="411" t="str">
        <f>IF(D29&lt;0,"See Tab B","")</f>
        <v/>
      </c>
      <c r="E30" s="370"/>
      <c r="F30" s="411" t="str">
        <f>IF(F29&lt;0,"See Tab B","")</f>
        <v/>
      </c>
      <c r="G30" s="124"/>
      <c r="H30" s="411" t="str">
        <f>IF(H29&lt;0,"See Tab B","")</f>
        <v/>
      </c>
      <c r="I30" s="124"/>
      <c r="J30" s="411" t="str">
        <f>IF(J29&lt;0,"See Tab B","")</f>
        <v/>
      </c>
      <c r="K30" s="380">
        <f>SUM(K7+K17-K28)</f>
        <v>114397</v>
      </c>
      <c r="L30" s="71" t="s">
        <v>63</v>
      </c>
    </row>
    <row r="31" spans="1:12">
      <c r="A31" s="124"/>
      <c r="B31" s="381"/>
      <c r="C31" s="124"/>
      <c r="D31" s="355"/>
      <c r="E31" s="124"/>
      <c r="F31" s="124"/>
      <c r="G31" s="81" t="s">
        <v>64</v>
      </c>
      <c r="H31" s="81"/>
      <c r="I31" s="81"/>
      <c r="J31" s="81"/>
      <c r="K31" s="124"/>
    </row>
    <row r="32" spans="1:12">
      <c r="A32" s="124"/>
      <c r="B32" s="381"/>
      <c r="C32" s="124"/>
      <c r="D32" s="124"/>
      <c r="E32" s="124"/>
      <c r="F32" s="124"/>
      <c r="G32" s="124"/>
      <c r="H32" s="124"/>
      <c r="I32" s="124"/>
      <c r="J32" s="124"/>
      <c r="K32" s="124"/>
    </row>
    <row r="33" spans="1:11">
      <c r="A33" s="124"/>
      <c r="B33" s="381"/>
      <c r="C33" s="124"/>
      <c r="D33" s="124"/>
      <c r="E33" s="320" t="s">
        <v>188</v>
      </c>
      <c r="F33" s="347">
        <v>25</v>
      </c>
      <c r="G33" s="124"/>
      <c r="H33" s="124"/>
      <c r="I33" s="124"/>
      <c r="J33" s="124"/>
      <c r="K33" s="124"/>
    </row>
    <row r="34" spans="1:11">
      <c r="B34" s="382"/>
    </row>
    <row r="35" spans="1:11">
      <c r="B35" s="382"/>
    </row>
    <row r="36" spans="1:11">
      <c r="B36" s="382"/>
    </row>
    <row r="37" spans="1:11">
      <c r="B37" s="382"/>
    </row>
    <row r="38" spans="1:11">
      <c r="B38" s="382"/>
    </row>
    <row r="39" spans="1:11">
      <c r="B39" s="382"/>
    </row>
    <row r="40" spans="1:11">
      <c r="B40" s="382"/>
    </row>
    <row r="41" spans="1:11">
      <c r="B41" s="382"/>
    </row>
  </sheetData>
  <mergeCells count="5">
    <mergeCell ref="I5:J5"/>
    <mergeCell ref="A5:B5"/>
    <mergeCell ref="C5:D5"/>
    <mergeCell ref="E5:F5"/>
    <mergeCell ref="G5:H5"/>
  </mergeCells>
  <phoneticPr fontId="8" type="noConversion"/>
  <pageMargins left="0.75" right="0.75" top="1" bottom="1" header="0.5" footer="0.5"/>
  <pageSetup scale="88" orientation="landscape" blackAndWhite="1" r:id="rId1"/>
  <headerFooter alignWithMargins="0">
    <oddHeader>&amp;RState of Kansas
County</oddHeader>
  </headerFooter>
</worksheet>
</file>

<file path=xl/worksheets/sheet39.xml><?xml version="1.0" encoding="utf-8"?>
<worksheet xmlns="http://schemas.openxmlformats.org/spreadsheetml/2006/main" xmlns:r="http://schemas.openxmlformats.org/officeDocument/2006/relationships">
  <sheetPr>
    <pageSetUpPr fitToPage="1"/>
  </sheetPr>
  <dimension ref="A1:L41"/>
  <sheetViews>
    <sheetView workbookViewId="0">
      <selection activeCell="B23" sqref="B23:J23"/>
    </sheetView>
  </sheetViews>
  <sheetFormatPr defaultRowHeight="15.75"/>
  <cols>
    <col min="1" max="1" width="11.5546875" style="71" customWidth="1"/>
    <col min="2" max="2" width="7.44140625" style="71" customWidth="1"/>
    <col min="3" max="3" width="11.5546875" style="71" customWidth="1"/>
    <col min="4" max="4" width="7.44140625" style="71" customWidth="1"/>
    <col min="5" max="5" width="11.5546875" style="71" customWidth="1"/>
    <col min="6" max="6" width="7.44140625" style="71" customWidth="1"/>
    <col min="7" max="7" width="11.5546875" style="71" customWidth="1"/>
    <col min="8" max="8" width="7.44140625" style="71" customWidth="1"/>
    <col min="9" max="9" width="11.5546875" style="71" customWidth="1"/>
    <col min="10" max="16384" width="8.88671875" style="71"/>
  </cols>
  <sheetData>
    <row r="1" spans="1:11">
      <c r="A1" s="143" t="str">
        <f>inputPrYr!$C$2</f>
        <v>Lyon County</v>
      </c>
      <c r="B1" s="355"/>
      <c r="C1" s="124"/>
      <c r="D1" s="124"/>
      <c r="E1" s="124"/>
      <c r="F1" s="356" t="s">
        <v>25</v>
      </c>
      <c r="G1" s="124"/>
      <c r="H1" s="124"/>
      <c r="I1" s="124"/>
      <c r="J1" s="124"/>
      <c r="K1" s="124">
        <f>inputPrYr!$C$4</f>
        <v>2014</v>
      </c>
    </row>
    <row r="2" spans="1:11">
      <c r="A2" s="124"/>
      <c r="B2" s="124"/>
      <c r="C2" s="124"/>
      <c r="D2" s="124"/>
      <c r="E2" s="124"/>
      <c r="F2" s="357" t="str">
        <f>CONCATENATE("(Only the actual budget year for ",K1-2," is to be shown)")</f>
        <v>(Only the actual budget year for 2012 is to be shown)</v>
      </c>
      <c r="G2" s="124"/>
      <c r="H2" s="124"/>
      <c r="I2" s="124"/>
      <c r="J2" s="124"/>
      <c r="K2" s="124"/>
    </row>
    <row r="3" spans="1:11">
      <c r="A3" s="124" t="s">
        <v>26</v>
      </c>
      <c r="B3" s="124"/>
      <c r="C3" s="124"/>
      <c r="D3" s="124"/>
      <c r="E3" s="124"/>
      <c r="F3" s="355"/>
      <c r="G3" s="124"/>
      <c r="H3" s="124"/>
      <c r="I3" s="124"/>
      <c r="J3" s="124"/>
      <c r="K3" s="124"/>
    </row>
    <row r="4" spans="1:11">
      <c r="A4" s="124" t="s">
        <v>16</v>
      </c>
      <c r="B4" s="124"/>
      <c r="C4" s="124" t="s">
        <v>17</v>
      </c>
      <c r="D4" s="124"/>
      <c r="E4" s="124" t="s">
        <v>18</v>
      </c>
      <c r="F4" s="355"/>
      <c r="G4" s="124" t="s">
        <v>19</v>
      </c>
      <c r="H4" s="124"/>
      <c r="I4" s="124" t="s">
        <v>20</v>
      </c>
      <c r="J4" s="124"/>
      <c r="K4" s="124"/>
    </row>
    <row r="5" spans="1:11">
      <c r="A5" s="814" t="str">
        <f>IF(inputPrYr!B74&gt;" ",(inputPrYr!B74)," ")</f>
        <v xml:space="preserve"> </v>
      </c>
      <c r="B5" s="815"/>
      <c r="C5" s="814" t="str">
        <f>IF(inputPrYr!B75&gt;" ",(inputPrYr!B75)," ")</f>
        <v xml:space="preserve"> </v>
      </c>
      <c r="D5" s="815"/>
      <c r="E5" s="814" t="str">
        <f>IF(inputPrYr!B76&gt;" ",(inputPrYr!B76)," ")</f>
        <v xml:space="preserve"> </v>
      </c>
      <c r="F5" s="815"/>
      <c r="G5" s="814" t="str">
        <f>IF(inputPrYr!B77&gt;" ",(inputPrYr!B77)," ")</f>
        <v xml:space="preserve"> </v>
      </c>
      <c r="H5" s="815"/>
      <c r="I5" s="814" t="str">
        <f>IF(inputPrYr!B78&gt;" ",(inputPrYr!B78)," ")</f>
        <v xml:space="preserve"> </v>
      </c>
      <c r="J5" s="815"/>
      <c r="K5" s="359"/>
    </row>
    <row r="6" spans="1:11">
      <c r="A6" s="360" t="s">
        <v>21</v>
      </c>
      <c r="B6" s="361"/>
      <c r="C6" s="362" t="s">
        <v>21</v>
      </c>
      <c r="D6" s="363"/>
      <c r="E6" s="362" t="s">
        <v>21</v>
      </c>
      <c r="F6" s="358"/>
      <c r="G6" s="362" t="s">
        <v>21</v>
      </c>
      <c r="H6" s="364"/>
      <c r="I6" s="362" t="s">
        <v>21</v>
      </c>
      <c r="J6" s="124"/>
      <c r="K6" s="365" t="s">
        <v>132</v>
      </c>
    </row>
    <row r="7" spans="1:11">
      <c r="A7" s="366" t="s">
        <v>86</v>
      </c>
      <c r="B7" s="367"/>
      <c r="C7" s="368" t="s">
        <v>86</v>
      </c>
      <c r="D7" s="367"/>
      <c r="E7" s="368" t="s">
        <v>86</v>
      </c>
      <c r="F7" s="367"/>
      <c r="G7" s="368" t="s">
        <v>86</v>
      </c>
      <c r="H7" s="367"/>
      <c r="I7" s="368" t="s">
        <v>86</v>
      </c>
      <c r="J7" s="367"/>
      <c r="K7" s="369">
        <f>SUM(B7+D7+F7+H7+J7)</f>
        <v>0</v>
      </c>
    </row>
    <row r="8" spans="1:11">
      <c r="A8" s="370" t="s">
        <v>280</v>
      </c>
      <c r="B8" s="371"/>
      <c r="C8" s="370" t="s">
        <v>280</v>
      </c>
      <c r="D8" s="372"/>
      <c r="E8" s="370" t="s">
        <v>280</v>
      </c>
      <c r="F8" s="355"/>
      <c r="G8" s="370" t="s">
        <v>280</v>
      </c>
      <c r="H8" s="124"/>
      <c r="I8" s="370" t="s">
        <v>280</v>
      </c>
      <c r="J8" s="124"/>
      <c r="K8" s="355"/>
    </row>
    <row r="9" spans="1:11">
      <c r="A9" s="373"/>
      <c r="B9" s="367"/>
      <c r="C9" s="373"/>
      <c r="D9" s="367"/>
      <c r="E9" s="373"/>
      <c r="F9" s="367"/>
      <c r="G9" s="373"/>
      <c r="H9" s="367"/>
      <c r="I9" s="373"/>
      <c r="J9" s="367"/>
      <c r="K9" s="355"/>
    </row>
    <row r="10" spans="1:11">
      <c r="A10" s="373"/>
      <c r="B10" s="367"/>
      <c r="C10" s="373"/>
      <c r="D10" s="367"/>
      <c r="E10" s="373"/>
      <c r="F10" s="367"/>
      <c r="G10" s="373"/>
      <c r="H10" s="367"/>
      <c r="I10" s="373"/>
      <c r="J10" s="367"/>
      <c r="K10" s="355"/>
    </row>
    <row r="11" spans="1:11">
      <c r="A11" s="373"/>
      <c r="B11" s="367"/>
      <c r="C11" s="374"/>
      <c r="D11" s="367"/>
      <c r="E11" s="374"/>
      <c r="F11" s="367"/>
      <c r="G11" s="374"/>
      <c r="H11" s="367"/>
      <c r="I11" s="375"/>
      <c r="J11" s="367"/>
      <c r="K11" s="355"/>
    </row>
    <row r="12" spans="1:11">
      <c r="A12" s="373"/>
      <c r="B12" s="367"/>
      <c r="C12" s="373"/>
      <c r="D12" s="367"/>
      <c r="E12" s="376"/>
      <c r="F12" s="367"/>
      <c r="G12" s="376"/>
      <c r="H12" s="367"/>
      <c r="I12" s="376"/>
      <c r="J12" s="367"/>
      <c r="K12" s="355"/>
    </row>
    <row r="13" spans="1:11">
      <c r="A13" s="377"/>
      <c r="B13" s="367"/>
      <c r="C13" s="378"/>
      <c r="D13" s="367"/>
      <c r="E13" s="378"/>
      <c r="F13" s="367"/>
      <c r="G13" s="378"/>
      <c r="H13" s="367"/>
      <c r="I13" s="375"/>
      <c r="J13" s="367"/>
      <c r="K13" s="355"/>
    </row>
    <row r="14" spans="1:11">
      <c r="A14" s="373"/>
      <c r="B14" s="367"/>
      <c r="C14" s="376"/>
      <c r="D14" s="367"/>
      <c r="E14" s="376"/>
      <c r="F14" s="367"/>
      <c r="G14" s="376"/>
      <c r="H14" s="367"/>
      <c r="I14" s="376"/>
      <c r="J14" s="367"/>
      <c r="K14" s="355"/>
    </row>
    <row r="15" spans="1:11">
      <c r="A15" s="373"/>
      <c r="B15" s="367"/>
      <c r="C15" s="376"/>
      <c r="D15" s="367"/>
      <c r="E15" s="376"/>
      <c r="F15" s="367"/>
      <c r="G15" s="376"/>
      <c r="H15" s="367"/>
      <c r="I15" s="376"/>
      <c r="J15" s="367"/>
      <c r="K15" s="355"/>
    </row>
    <row r="16" spans="1:11">
      <c r="A16" s="373"/>
      <c r="B16" s="367"/>
      <c r="C16" s="373"/>
      <c r="D16" s="367"/>
      <c r="E16" s="373"/>
      <c r="F16" s="367"/>
      <c r="G16" s="376"/>
      <c r="H16" s="367"/>
      <c r="I16" s="373"/>
      <c r="J16" s="367"/>
      <c r="K16" s="355"/>
    </row>
    <row r="17" spans="1:12">
      <c r="A17" s="370" t="s">
        <v>168</v>
      </c>
      <c r="B17" s="369">
        <f>SUM(B9:B16)</f>
        <v>0</v>
      </c>
      <c r="C17" s="370" t="s">
        <v>168</v>
      </c>
      <c r="D17" s="369">
        <f>SUM(D9:D16)</f>
        <v>0</v>
      </c>
      <c r="E17" s="370" t="s">
        <v>168</v>
      </c>
      <c r="F17" s="445">
        <f>SUM(F9:F16)</f>
        <v>0</v>
      </c>
      <c r="G17" s="370" t="s">
        <v>168</v>
      </c>
      <c r="H17" s="369">
        <f>SUM(H9:H16)</f>
        <v>0</v>
      </c>
      <c r="I17" s="370" t="s">
        <v>168</v>
      </c>
      <c r="J17" s="369">
        <f>SUM(J9:J16)</f>
        <v>0</v>
      </c>
      <c r="K17" s="369">
        <f>SUM(B17+D17+F17+H17+J17)</f>
        <v>0</v>
      </c>
    </row>
    <row r="18" spans="1:12">
      <c r="A18" s="370" t="s">
        <v>169</v>
      </c>
      <c r="B18" s="369">
        <f>SUM(B7+B17)</f>
        <v>0</v>
      </c>
      <c r="C18" s="370" t="s">
        <v>169</v>
      </c>
      <c r="D18" s="369">
        <f>SUM(D7+D17)</f>
        <v>0</v>
      </c>
      <c r="E18" s="370" t="s">
        <v>169</v>
      </c>
      <c r="F18" s="369">
        <f>SUM(F7+F17)</f>
        <v>0</v>
      </c>
      <c r="G18" s="370" t="s">
        <v>169</v>
      </c>
      <c r="H18" s="369">
        <f>SUM(H7+H17)</f>
        <v>0</v>
      </c>
      <c r="I18" s="370" t="s">
        <v>169</v>
      </c>
      <c r="J18" s="369">
        <f>SUM(J7+J17)</f>
        <v>0</v>
      </c>
      <c r="K18" s="369">
        <f>SUM(B18+D18+F18+H18+J18)</f>
        <v>0</v>
      </c>
    </row>
    <row r="19" spans="1:12">
      <c r="A19" s="370" t="s">
        <v>172</v>
      </c>
      <c r="B19" s="371"/>
      <c r="C19" s="370" t="s">
        <v>172</v>
      </c>
      <c r="D19" s="372"/>
      <c r="E19" s="370" t="s">
        <v>172</v>
      </c>
      <c r="F19" s="355"/>
      <c r="G19" s="370" t="s">
        <v>172</v>
      </c>
      <c r="H19" s="124"/>
      <c r="I19" s="370" t="s">
        <v>172</v>
      </c>
      <c r="J19" s="124"/>
      <c r="K19" s="355"/>
    </row>
    <row r="20" spans="1:12">
      <c r="A20" s="373"/>
      <c r="B20" s="367"/>
      <c r="C20" s="376"/>
      <c r="D20" s="367"/>
      <c r="E20" s="376"/>
      <c r="F20" s="367"/>
      <c r="G20" s="376"/>
      <c r="H20" s="367"/>
      <c r="I20" s="376"/>
      <c r="J20" s="367"/>
      <c r="K20" s="355"/>
    </row>
    <row r="21" spans="1:12">
      <c r="A21" s="373"/>
      <c r="B21" s="367"/>
      <c r="C21" s="376"/>
      <c r="D21" s="367"/>
      <c r="E21" s="376"/>
      <c r="F21" s="367"/>
      <c r="G21" s="376"/>
      <c r="H21" s="367"/>
      <c r="I21" s="376"/>
      <c r="J21" s="367"/>
      <c r="K21" s="355"/>
    </row>
    <row r="22" spans="1:12">
      <c r="A22" s="373"/>
      <c r="B22" s="367"/>
      <c r="C22" s="378"/>
      <c r="D22" s="367"/>
      <c r="E22" s="378"/>
      <c r="F22" s="367"/>
      <c r="G22" s="378"/>
      <c r="H22" s="367"/>
      <c r="I22" s="375"/>
      <c r="J22" s="367"/>
      <c r="K22" s="355"/>
    </row>
    <row r="23" spans="1:12">
      <c r="A23" s="373"/>
      <c r="B23" s="367"/>
      <c r="C23" s="376"/>
      <c r="D23" s="367"/>
      <c r="E23" s="376"/>
      <c r="F23" s="367"/>
      <c r="G23" s="376"/>
      <c r="H23" s="367"/>
      <c r="I23" s="376"/>
      <c r="J23" s="367"/>
      <c r="K23" s="355"/>
    </row>
    <row r="24" spans="1:12">
      <c r="A24" s="373"/>
      <c r="B24" s="367"/>
      <c r="C24" s="378"/>
      <c r="D24" s="367"/>
      <c r="E24" s="378"/>
      <c r="F24" s="367"/>
      <c r="G24" s="378"/>
      <c r="H24" s="367"/>
      <c r="I24" s="375"/>
      <c r="J24" s="367"/>
      <c r="K24" s="355"/>
    </row>
    <row r="25" spans="1:12">
      <c r="A25" s="373"/>
      <c r="B25" s="367"/>
      <c r="C25" s="376"/>
      <c r="D25" s="367"/>
      <c r="E25" s="376"/>
      <c r="F25" s="367"/>
      <c r="G25" s="376"/>
      <c r="H25" s="367"/>
      <c r="I25" s="376"/>
      <c r="J25" s="367"/>
      <c r="K25" s="355"/>
    </row>
    <row r="26" spans="1:12">
      <c r="A26" s="373"/>
      <c r="B26" s="367"/>
      <c r="C26" s="376"/>
      <c r="D26" s="367"/>
      <c r="E26" s="376"/>
      <c r="F26" s="367"/>
      <c r="G26" s="376"/>
      <c r="H26" s="367"/>
      <c r="I26" s="376"/>
      <c r="J26" s="367"/>
      <c r="K26" s="355"/>
    </row>
    <row r="27" spans="1:12">
      <c r="A27" s="373"/>
      <c r="B27" s="367"/>
      <c r="C27" s="373"/>
      <c r="D27" s="367"/>
      <c r="E27" s="373"/>
      <c r="F27" s="367"/>
      <c r="G27" s="376"/>
      <c r="H27" s="367"/>
      <c r="I27" s="376"/>
      <c r="J27" s="367"/>
      <c r="K27" s="355"/>
    </row>
    <row r="28" spans="1:12">
      <c r="A28" s="370" t="s">
        <v>173</v>
      </c>
      <c r="B28" s="369">
        <f>SUM(B20:B27)</f>
        <v>0</v>
      </c>
      <c r="C28" s="370" t="s">
        <v>173</v>
      </c>
      <c r="D28" s="369">
        <f>SUM(D20:D27)</f>
        <v>0</v>
      </c>
      <c r="E28" s="370" t="s">
        <v>173</v>
      </c>
      <c r="F28" s="445">
        <f>SUM(F20:F27)</f>
        <v>0</v>
      </c>
      <c r="G28" s="370" t="s">
        <v>173</v>
      </c>
      <c r="H28" s="445">
        <f>SUM(H20:H27)</f>
        <v>0</v>
      </c>
      <c r="I28" s="370" t="s">
        <v>173</v>
      </c>
      <c r="J28" s="369">
        <f>SUM(J20:J27)</f>
        <v>0</v>
      </c>
      <c r="K28" s="369">
        <f>SUM(B28+D28+F28+H28+J28)</f>
        <v>0</v>
      </c>
    </row>
    <row r="29" spans="1:12">
      <c r="A29" s="370" t="s">
        <v>22</v>
      </c>
      <c r="B29" s="369">
        <f>B18-B28</f>
        <v>0</v>
      </c>
      <c r="C29" s="370" t="s">
        <v>22</v>
      </c>
      <c r="D29" s="369">
        <f>D18-D28</f>
        <v>0</v>
      </c>
      <c r="E29" s="370" t="s">
        <v>22</v>
      </c>
      <c r="F29" s="369">
        <f>F18-F28</f>
        <v>0</v>
      </c>
      <c r="G29" s="370" t="s">
        <v>22</v>
      </c>
      <c r="H29" s="369">
        <f>H18-H28</f>
        <v>0</v>
      </c>
      <c r="I29" s="370" t="s">
        <v>22</v>
      </c>
      <c r="J29" s="369">
        <f>J18-J28</f>
        <v>0</v>
      </c>
      <c r="K29" s="380">
        <f>SUM(B29+D29+F29+H29+J29)</f>
        <v>0</v>
      </c>
      <c r="L29" s="71" t="s">
        <v>63</v>
      </c>
    </row>
    <row r="30" spans="1:12">
      <c r="A30" s="370"/>
      <c r="B30" s="411" t="str">
        <f>IF(B29&lt;0,"See Tab B","")</f>
        <v/>
      </c>
      <c r="C30" s="370"/>
      <c r="D30" s="411" t="str">
        <f>IF(D29&lt;0,"See Tab B","")</f>
        <v/>
      </c>
      <c r="E30" s="370"/>
      <c r="F30" s="411" t="str">
        <f>IF(F29&lt;0,"See Tab B","")</f>
        <v/>
      </c>
      <c r="G30" s="124"/>
      <c r="H30" s="411" t="str">
        <f>IF(H29&lt;0,"See Tab B","")</f>
        <v/>
      </c>
      <c r="I30" s="124"/>
      <c r="J30" s="411" t="str">
        <f>IF(J29&lt;0,"See Tab B","")</f>
        <v/>
      </c>
      <c r="K30" s="380">
        <f>SUM(K7+K17-K28)</f>
        <v>0</v>
      </c>
      <c r="L30" s="71" t="s">
        <v>63</v>
      </c>
    </row>
    <row r="31" spans="1:12">
      <c r="A31" s="124"/>
      <c r="B31" s="381"/>
      <c r="C31" s="124"/>
      <c r="D31" s="355"/>
      <c r="E31" s="124"/>
      <c r="F31" s="124"/>
      <c r="G31" s="81" t="s">
        <v>64</v>
      </c>
      <c r="H31" s="81"/>
      <c r="I31" s="81"/>
      <c r="J31" s="81"/>
      <c r="K31" s="124"/>
    </row>
    <row r="32" spans="1:12">
      <c r="A32" s="124"/>
      <c r="B32" s="381"/>
      <c r="C32" s="124"/>
      <c r="D32" s="124"/>
      <c r="E32" s="124"/>
      <c r="F32" s="124"/>
      <c r="G32" s="124"/>
      <c r="H32" s="124"/>
      <c r="I32" s="124"/>
      <c r="J32" s="124"/>
      <c r="K32" s="124"/>
    </row>
    <row r="33" spans="1:11">
      <c r="A33" s="124"/>
      <c r="B33" s="381"/>
      <c r="C33" s="124"/>
      <c r="D33" s="124"/>
      <c r="E33" s="320" t="s">
        <v>188</v>
      </c>
      <c r="F33" s="347"/>
      <c r="G33" s="124"/>
      <c r="H33" s="124"/>
      <c r="I33" s="124"/>
      <c r="J33" s="124"/>
      <c r="K33" s="124"/>
    </row>
    <row r="34" spans="1:11">
      <c r="B34" s="382"/>
    </row>
    <row r="35" spans="1:11">
      <c r="B35" s="382"/>
    </row>
    <row r="36" spans="1:11">
      <c r="B36" s="382"/>
    </row>
    <row r="37" spans="1:11">
      <c r="B37" s="382"/>
    </row>
    <row r="38" spans="1:11">
      <c r="B38" s="382"/>
    </row>
    <row r="39" spans="1:11">
      <c r="B39" s="382"/>
    </row>
    <row r="40" spans="1:11">
      <c r="B40" s="382"/>
    </row>
    <row r="41" spans="1:11">
      <c r="B41" s="382"/>
    </row>
  </sheetData>
  <sheetProtection sheet="1"/>
  <mergeCells count="5">
    <mergeCell ref="I5:J5"/>
    <mergeCell ref="A5:B5"/>
    <mergeCell ref="C5:D5"/>
    <mergeCell ref="E5:F5"/>
    <mergeCell ref="G5:H5"/>
  </mergeCells>
  <phoneticPr fontId="8" type="noConversion"/>
  <pageMargins left="0.75" right="0.75" top="1" bottom="1" header="0.5" footer="0.5"/>
  <pageSetup scale="88" orientation="landscape" blackAndWhite="1" r:id="rId1"/>
  <headerFooter alignWithMargins="0">
    <oddHeader>&amp;RState of Kansas
County</oddHeader>
  </headerFooter>
</worksheet>
</file>

<file path=xl/worksheets/sheet4.xml><?xml version="1.0" encoding="utf-8"?>
<worksheet xmlns="http://schemas.openxmlformats.org/spreadsheetml/2006/main" xmlns:r="http://schemas.openxmlformats.org/officeDocument/2006/relationships">
  <dimension ref="A1:J23"/>
  <sheetViews>
    <sheetView zoomScaleNormal="100" workbookViewId="0">
      <selection activeCell="F22" sqref="F22"/>
    </sheetView>
  </sheetViews>
  <sheetFormatPr defaultRowHeight="15"/>
  <cols>
    <col min="1" max="1" width="13.77734375" customWidth="1"/>
    <col min="2" max="2" width="16.109375" customWidth="1"/>
  </cols>
  <sheetData>
    <row r="1" spans="1:10">
      <c r="J1" s="635" t="s">
        <v>823</v>
      </c>
    </row>
    <row r="2" spans="1:10" ht="54" customHeight="1">
      <c r="A2" s="760" t="s">
        <v>411</v>
      </c>
      <c r="B2" s="761"/>
      <c r="C2" s="761"/>
      <c r="D2" s="761"/>
      <c r="E2" s="761"/>
      <c r="F2" s="761"/>
      <c r="J2" s="635" t="s">
        <v>824</v>
      </c>
    </row>
    <row r="3" spans="1:10" ht="15.75">
      <c r="A3" s="2" t="s">
        <v>821</v>
      </c>
      <c r="B3" s="716" t="s">
        <v>1107</v>
      </c>
      <c r="J3" s="635" t="s">
        <v>825</v>
      </c>
    </row>
    <row r="4" spans="1:10" ht="15.75">
      <c r="A4" s="420"/>
      <c r="B4" s="420"/>
      <c r="C4" s="420"/>
      <c r="D4" s="738" t="s">
        <v>822</v>
      </c>
      <c r="E4" s="420"/>
      <c r="F4" s="420"/>
      <c r="J4" s="635" t="s">
        <v>826</v>
      </c>
    </row>
    <row r="5" spans="1:10" ht="15.75">
      <c r="A5" s="421" t="s">
        <v>412</v>
      </c>
      <c r="B5" s="422" t="s">
        <v>1108</v>
      </c>
      <c r="C5" s="423"/>
      <c r="D5" s="634" t="str">
        <f ca="1">IF(B5="","",CONCATENATE("Latest date for notice to be published in your newspaper: ",G18," ",G22,", ",G23))</f>
        <v>Latest date for notice to be published in your newspaper: August 12, 2013</v>
      </c>
      <c r="E5" s="420"/>
      <c r="F5" s="420"/>
      <c r="J5" s="635" t="s">
        <v>827</v>
      </c>
    </row>
    <row r="6" spans="1:10" ht="15.75">
      <c r="A6" s="421"/>
      <c r="B6" s="424"/>
      <c r="C6" s="425"/>
      <c r="D6" s="421"/>
      <c r="E6" s="420"/>
      <c r="F6" s="420"/>
      <c r="J6" s="635" t="s">
        <v>828</v>
      </c>
    </row>
    <row r="7" spans="1:10" ht="15.75">
      <c r="A7" s="421" t="s">
        <v>413</v>
      </c>
      <c r="B7" s="422" t="s">
        <v>1109</v>
      </c>
      <c r="C7" s="426"/>
      <c r="D7" s="421"/>
      <c r="E7" s="420"/>
      <c r="F7" s="420"/>
      <c r="J7" s="635" t="s">
        <v>829</v>
      </c>
    </row>
    <row r="8" spans="1:10" ht="15.75">
      <c r="A8" s="421"/>
      <c r="B8" s="421"/>
      <c r="C8" s="421"/>
      <c r="D8" s="421"/>
      <c r="E8" s="420"/>
      <c r="F8" s="420"/>
      <c r="J8" s="635" t="s">
        <v>830</v>
      </c>
    </row>
    <row r="9" spans="1:10" ht="15.75">
      <c r="A9" s="421" t="s">
        <v>414</v>
      </c>
      <c r="B9" s="427" t="s">
        <v>1110</v>
      </c>
      <c r="C9" s="427"/>
      <c r="D9" s="427"/>
      <c r="E9" s="428"/>
      <c r="F9" s="420"/>
      <c r="J9" s="635" t="s">
        <v>831</v>
      </c>
    </row>
    <row r="10" spans="1:10" ht="15.75">
      <c r="A10" s="421"/>
      <c r="B10" s="421"/>
      <c r="C10" s="421"/>
      <c r="D10" s="421"/>
      <c r="E10" s="420"/>
      <c r="F10" s="420"/>
      <c r="J10" s="635" t="s">
        <v>832</v>
      </c>
    </row>
    <row r="11" spans="1:10" ht="15.75">
      <c r="A11" s="421"/>
      <c r="B11" s="421"/>
      <c r="C11" s="421"/>
      <c r="D11" s="421"/>
      <c r="E11" s="420"/>
      <c r="F11" s="420"/>
      <c r="J11" s="635" t="s">
        <v>833</v>
      </c>
    </row>
    <row r="12" spans="1:10" ht="15.75">
      <c r="A12" s="421" t="s">
        <v>416</v>
      </c>
      <c r="B12" s="427"/>
      <c r="C12" s="427"/>
      <c r="D12" s="427"/>
      <c r="E12" s="428"/>
      <c r="F12" s="420"/>
      <c r="J12" s="635" t="s">
        <v>834</v>
      </c>
    </row>
    <row r="15" spans="1:10" ht="15.75">
      <c r="A15" s="762" t="s">
        <v>417</v>
      </c>
      <c r="B15" s="762"/>
      <c r="C15" s="421"/>
      <c r="D15" s="421"/>
      <c r="E15" s="421"/>
      <c r="F15" s="420"/>
    </row>
    <row r="16" spans="1:10" ht="15.75">
      <c r="A16" s="421"/>
      <c r="B16" s="421"/>
      <c r="C16" s="421"/>
      <c r="D16" s="421"/>
      <c r="E16" s="421"/>
      <c r="F16" s="420"/>
    </row>
    <row r="17" spans="1:7" ht="15.75">
      <c r="A17" s="421" t="s">
        <v>412</v>
      </c>
      <c r="B17" s="424" t="s">
        <v>418</v>
      </c>
      <c r="C17" s="421"/>
      <c r="D17" s="421"/>
      <c r="E17" s="421"/>
    </row>
    <row r="18" spans="1:7" ht="15.75">
      <c r="A18" s="421"/>
      <c r="B18" s="421"/>
      <c r="C18" s="421"/>
      <c r="D18" s="421"/>
      <c r="E18" s="421"/>
      <c r="G18" s="635" t="str">
        <f ca="1">IF(B5="","",INDIRECT(G19))</f>
        <v>August</v>
      </c>
    </row>
    <row r="19" spans="1:7" ht="15.75">
      <c r="A19" s="421" t="s">
        <v>413</v>
      </c>
      <c r="B19" s="421" t="s">
        <v>419</v>
      </c>
      <c r="C19" s="421"/>
      <c r="D19" s="421"/>
      <c r="E19" s="421"/>
      <c r="G19" s="636" t="str">
        <f>IF(B5="","",CONCATENATE("J",G21))</f>
        <v>J8</v>
      </c>
    </row>
    <row r="20" spans="1:7" ht="15.75">
      <c r="A20" s="421"/>
      <c r="B20" s="421"/>
      <c r="C20" s="421"/>
      <c r="D20" s="421"/>
      <c r="E20" s="421"/>
      <c r="G20" s="637">
        <f>B5-10</f>
        <v>41498</v>
      </c>
    </row>
    <row r="21" spans="1:7" ht="15.75">
      <c r="A21" s="421" t="s">
        <v>414</v>
      </c>
      <c r="B21" s="421" t="s">
        <v>415</v>
      </c>
      <c r="C21" s="421"/>
      <c r="D21" s="421"/>
      <c r="E21" s="421"/>
      <c r="G21" s="638">
        <f>IF(B5="","",MONTH(G20))</f>
        <v>8</v>
      </c>
    </row>
    <row r="22" spans="1:7" ht="15.75">
      <c r="A22" s="421"/>
      <c r="B22" s="421"/>
      <c r="C22" s="421"/>
      <c r="D22" s="421"/>
      <c r="E22" s="421"/>
      <c r="G22" s="639">
        <f>IF(B5="","",DAY(G20))</f>
        <v>12</v>
      </c>
    </row>
    <row r="23" spans="1:7" ht="15.75">
      <c r="A23" s="421" t="s">
        <v>416</v>
      </c>
      <c r="B23" s="421" t="s">
        <v>415</v>
      </c>
      <c r="C23" s="421"/>
      <c r="D23" s="421"/>
      <c r="E23" s="421"/>
      <c r="G23" s="640">
        <f>IF(B5="","",YEAR(G20))</f>
        <v>2013</v>
      </c>
    </row>
  </sheetData>
  <mergeCells count="2">
    <mergeCell ref="A2:F2"/>
    <mergeCell ref="A15:B15"/>
  </mergeCells>
  <pageMargins left="0.7" right="0.7" top="0.75" bottom="0.75" header="0.3" footer="0.3"/>
  <pageSetup orientation="portrait" blackAndWhite="1" r:id="rId1"/>
</worksheet>
</file>

<file path=xl/worksheets/sheet40.xml><?xml version="1.0" encoding="utf-8"?>
<worksheet xmlns="http://schemas.openxmlformats.org/spreadsheetml/2006/main" xmlns:r="http://schemas.openxmlformats.org/officeDocument/2006/relationships">
  <sheetPr>
    <pageSetUpPr fitToPage="1"/>
  </sheetPr>
  <dimension ref="A1:L41"/>
  <sheetViews>
    <sheetView workbookViewId="0">
      <selection activeCell="F33" sqref="F33"/>
    </sheetView>
  </sheetViews>
  <sheetFormatPr defaultRowHeight="15.75"/>
  <cols>
    <col min="1" max="1" width="11.5546875" style="71" customWidth="1"/>
    <col min="2" max="2" width="7.44140625" style="71" customWidth="1"/>
    <col min="3" max="3" width="11.5546875" style="71" customWidth="1"/>
    <col min="4" max="4" width="7.44140625" style="71" customWidth="1"/>
    <col min="5" max="5" width="11.5546875" style="71" customWidth="1"/>
    <col min="6" max="6" width="7.44140625" style="71" customWidth="1"/>
    <col min="7" max="7" width="11.5546875" style="71" customWidth="1"/>
    <col min="8" max="8" width="7.44140625" style="71" customWidth="1"/>
    <col min="9" max="9" width="11.5546875" style="71" customWidth="1"/>
    <col min="10" max="16384" width="8.88671875" style="71"/>
  </cols>
  <sheetData>
    <row r="1" spans="1:11">
      <c r="A1" s="143" t="str">
        <f>inputPrYr!$C$2</f>
        <v>Lyon County</v>
      </c>
      <c r="B1" s="355"/>
      <c r="C1" s="124"/>
      <c r="D1" s="124"/>
      <c r="E1" s="124"/>
      <c r="F1" s="356" t="s">
        <v>27</v>
      </c>
      <c r="G1" s="124"/>
      <c r="H1" s="124"/>
      <c r="I1" s="124"/>
      <c r="J1" s="124"/>
      <c r="K1" s="124">
        <f>inputPrYr!$C$4</f>
        <v>2014</v>
      </c>
    </row>
    <row r="2" spans="1:11">
      <c r="A2" s="124"/>
      <c r="B2" s="124"/>
      <c r="C2" s="124"/>
      <c r="D2" s="124"/>
      <c r="E2" s="124"/>
      <c r="F2" s="357" t="str">
        <f>CONCATENATE("(Only the actual budget year for ",K1-2," is to be shown)")</f>
        <v>(Only the actual budget year for 2012 is to be shown)</v>
      </c>
      <c r="G2" s="124"/>
      <c r="H2" s="124"/>
      <c r="I2" s="124"/>
      <c r="J2" s="124"/>
      <c r="K2" s="124"/>
    </row>
    <row r="3" spans="1:11">
      <c r="A3" s="124" t="s">
        <v>28</v>
      </c>
      <c r="B3" s="124"/>
      <c r="C3" s="124"/>
      <c r="D3" s="124"/>
      <c r="E3" s="124"/>
      <c r="F3" s="355"/>
      <c r="G3" s="124"/>
      <c r="H3" s="124"/>
      <c r="I3" s="124"/>
      <c r="J3" s="124"/>
      <c r="K3" s="124"/>
    </row>
    <row r="4" spans="1:11">
      <c r="A4" s="124" t="s">
        <v>16</v>
      </c>
      <c r="B4" s="124"/>
      <c r="C4" s="124" t="s">
        <v>17</v>
      </c>
      <c r="D4" s="124"/>
      <c r="E4" s="124" t="s">
        <v>18</v>
      </c>
      <c r="F4" s="355"/>
      <c r="G4" s="124" t="s">
        <v>19</v>
      </c>
      <c r="H4" s="124"/>
      <c r="I4" s="124" t="s">
        <v>20</v>
      </c>
      <c r="J4" s="124"/>
      <c r="K4" s="124"/>
    </row>
    <row r="5" spans="1:11">
      <c r="A5" s="814" t="str">
        <f>IF(inputPrYr!B80&gt;" ",(inputPrYr!B80)," ")</f>
        <v xml:space="preserve"> </v>
      </c>
      <c r="B5" s="815"/>
      <c r="C5" s="814" t="str">
        <f>IF(inputPrYr!B81&gt;" ",(inputPrYr!B81)," ")</f>
        <v xml:space="preserve"> </v>
      </c>
      <c r="D5" s="815"/>
      <c r="E5" s="814" t="str">
        <f>IF(inputPrYr!B82&gt;" ",(inputPrYr!B82)," ")</f>
        <v xml:space="preserve"> </v>
      </c>
      <c r="F5" s="815"/>
      <c r="G5" s="814" t="str">
        <f>IF(inputPrYr!B83&gt;" ",(inputPrYr!B83)," ")</f>
        <v xml:space="preserve"> </v>
      </c>
      <c r="H5" s="815"/>
      <c r="I5" s="814" t="str">
        <f>IF(inputPrYr!B84&gt;" ",(inputPrYr!B84)," ")</f>
        <v xml:space="preserve"> </v>
      </c>
      <c r="J5" s="815"/>
      <c r="K5" s="359"/>
    </row>
    <row r="6" spans="1:11">
      <c r="A6" s="360" t="s">
        <v>21</v>
      </c>
      <c r="B6" s="361"/>
      <c r="C6" s="362" t="s">
        <v>21</v>
      </c>
      <c r="D6" s="363"/>
      <c r="E6" s="362" t="s">
        <v>21</v>
      </c>
      <c r="F6" s="358"/>
      <c r="G6" s="362" t="s">
        <v>21</v>
      </c>
      <c r="H6" s="364"/>
      <c r="I6" s="362" t="s">
        <v>21</v>
      </c>
      <c r="J6" s="124"/>
      <c r="K6" s="365" t="s">
        <v>132</v>
      </c>
    </row>
    <row r="7" spans="1:11">
      <c r="A7" s="366" t="s">
        <v>86</v>
      </c>
      <c r="B7" s="367"/>
      <c r="C7" s="368" t="s">
        <v>86</v>
      </c>
      <c r="D7" s="367"/>
      <c r="E7" s="368" t="s">
        <v>86</v>
      </c>
      <c r="F7" s="367"/>
      <c r="G7" s="368" t="s">
        <v>86</v>
      </c>
      <c r="H7" s="367"/>
      <c r="I7" s="368" t="s">
        <v>86</v>
      </c>
      <c r="J7" s="367"/>
      <c r="K7" s="369">
        <f>SUM(B7+D7+F7+H7+J7)</f>
        <v>0</v>
      </c>
    </row>
    <row r="8" spans="1:11">
      <c r="A8" s="370" t="s">
        <v>280</v>
      </c>
      <c r="B8" s="371"/>
      <c r="C8" s="370" t="s">
        <v>280</v>
      </c>
      <c r="D8" s="372"/>
      <c r="E8" s="370" t="s">
        <v>280</v>
      </c>
      <c r="F8" s="355"/>
      <c r="G8" s="370" t="s">
        <v>280</v>
      </c>
      <c r="H8" s="124"/>
      <c r="I8" s="370" t="s">
        <v>280</v>
      </c>
      <c r="J8" s="124"/>
      <c r="K8" s="355"/>
    </row>
    <row r="9" spans="1:11">
      <c r="A9" s="373"/>
      <c r="B9" s="367"/>
      <c r="C9" s="373"/>
      <c r="D9" s="367"/>
      <c r="E9" s="373"/>
      <c r="F9" s="367"/>
      <c r="G9" s="373"/>
      <c r="H9" s="367"/>
      <c r="I9" s="373"/>
      <c r="J9" s="367"/>
      <c r="K9" s="355"/>
    </row>
    <row r="10" spans="1:11">
      <c r="A10" s="373"/>
      <c r="B10" s="367"/>
      <c r="C10" s="373"/>
      <c r="D10" s="367"/>
      <c r="E10" s="373"/>
      <c r="F10" s="367"/>
      <c r="G10" s="373"/>
      <c r="H10" s="367"/>
      <c r="I10" s="373"/>
      <c r="J10" s="367"/>
      <c r="K10" s="355"/>
    </row>
    <row r="11" spans="1:11">
      <c r="A11" s="373"/>
      <c r="B11" s="367"/>
      <c r="C11" s="374"/>
      <c r="D11" s="367"/>
      <c r="E11" s="374"/>
      <c r="F11" s="367"/>
      <c r="G11" s="374"/>
      <c r="H11" s="367"/>
      <c r="I11" s="375"/>
      <c r="J11" s="367"/>
      <c r="K11" s="355"/>
    </row>
    <row r="12" spans="1:11">
      <c r="A12" s="373"/>
      <c r="B12" s="367"/>
      <c r="C12" s="373"/>
      <c r="D12" s="367"/>
      <c r="E12" s="376"/>
      <c r="F12" s="367"/>
      <c r="G12" s="376"/>
      <c r="H12" s="367"/>
      <c r="I12" s="376"/>
      <c r="J12" s="367"/>
      <c r="K12" s="355"/>
    </row>
    <row r="13" spans="1:11">
      <c r="A13" s="377"/>
      <c r="B13" s="367"/>
      <c r="C13" s="378"/>
      <c r="D13" s="367"/>
      <c r="E13" s="378"/>
      <c r="F13" s="367"/>
      <c r="G13" s="378"/>
      <c r="H13" s="367"/>
      <c r="I13" s="375"/>
      <c r="J13" s="367"/>
      <c r="K13" s="355"/>
    </row>
    <row r="14" spans="1:11">
      <c r="A14" s="373"/>
      <c r="B14" s="367"/>
      <c r="C14" s="376"/>
      <c r="D14" s="367"/>
      <c r="E14" s="376"/>
      <c r="F14" s="367"/>
      <c r="G14" s="376"/>
      <c r="H14" s="367"/>
      <c r="I14" s="376"/>
      <c r="J14" s="367"/>
      <c r="K14" s="355"/>
    </row>
    <row r="15" spans="1:11">
      <c r="A15" s="373"/>
      <c r="B15" s="367"/>
      <c r="C15" s="376"/>
      <c r="D15" s="367"/>
      <c r="E15" s="376"/>
      <c r="F15" s="367"/>
      <c r="G15" s="376"/>
      <c r="H15" s="367"/>
      <c r="I15" s="376"/>
      <c r="J15" s="367"/>
      <c r="K15" s="355"/>
    </row>
    <row r="16" spans="1:11">
      <c r="A16" s="373"/>
      <c r="B16" s="367"/>
      <c r="C16" s="373"/>
      <c r="D16" s="367"/>
      <c r="E16" s="373"/>
      <c r="F16" s="367"/>
      <c r="G16" s="376"/>
      <c r="H16" s="367"/>
      <c r="I16" s="373"/>
      <c r="J16" s="367"/>
      <c r="K16" s="355"/>
    </row>
    <row r="17" spans="1:12">
      <c r="A17" s="370" t="s">
        <v>168</v>
      </c>
      <c r="B17" s="369">
        <f>SUM(B9:B16)</f>
        <v>0</v>
      </c>
      <c r="C17" s="370" t="s">
        <v>168</v>
      </c>
      <c r="D17" s="369">
        <f>SUM(D9:D16)</f>
        <v>0</v>
      </c>
      <c r="E17" s="370" t="s">
        <v>168</v>
      </c>
      <c r="F17" s="445">
        <f>SUM(F9:F16)</f>
        <v>0</v>
      </c>
      <c r="G17" s="370" t="s">
        <v>168</v>
      </c>
      <c r="H17" s="369">
        <f>SUM(H9:H16)</f>
        <v>0</v>
      </c>
      <c r="I17" s="370" t="s">
        <v>168</v>
      </c>
      <c r="J17" s="369">
        <f>SUM(J9:J16)</f>
        <v>0</v>
      </c>
      <c r="K17" s="369">
        <f>SUM(B17+D17+F17+H17+J17)</f>
        <v>0</v>
      </c>
    </row>
    <row r="18" spans="1:12">
      <c r="A18" s="370" t="s">
        <v>169</v>
      </c>
      <c r="B18" s="369">
        <f>SUM(B7+B17)</f>
        <v>0</v>
      </c>
      <c r="C18" s="370" t="s">
        <v>169</v>
      </c>
      <c r="D18" s="369">
        <f>SUM(D7+D17)</f>
        <v>0</v>
      </c>
      <c r="E18" s="370" t="s">
        <v>169</v>
      </c>
      <c r="F18" s="369">
        <f>SUM(F7+F17)</f>
        <v>0</v>
      </c>
      <c r="G18" s="370" t="s">
        <v>169</v>
      </c>
      <c r="H18" s="369">
        <f>SUM(H7+H17)</f>
        <v>0</v>
      </c>
      <c r="I18" s="370" t="s">
        <v>169</v>
      </c>
      <c r="J18" s="369">
        <f>SUM(J7+J17)</f>
        <v>0</v>
      </c>
      <c r="K18" s="369">
        <f>SUM(B18+D18+F18+H18+J18)</f>
        <v>0</v>
      </c>
    </row>
    <row r="19" spans="1:12">
      <c r="A19" s="370" t="s">
        <v>172</v>
      </c>
      <c r="B19" s="371"/>
      <c r="C19" s="370" t="s">
        <v>172</v>
      </c>
      <c r="D19" s="372"/>
      <c r="E19" s="370" t="s">
        <v>172</v>
      </c>
      <c r="F19" s="355"/>
      <c r="G19" s="370" t="s">
        <v>172</v>
      </c>
      <c r="H19" s="124"/>
      <c r="I19" s="370" t="s">
        <v>172</v>
      </c>
      <c r="J19" s="124"/>
      <c r="K19" s="355"/>
    </row>
    <row r="20" spans="1:12">
      <c r="A20" s="373"/>
      <c r="B20" s="367"/>
      <c r="C20" s="376"/>
      <c r="D20" s="367"/>
      <c r="E20" s="376"/>
      <c r="F20" s="367"/>
      <c r="G20" s="376"/>
      <c r="H20" s="367"/>
      <c r="I20" s="376"/>
      <c r="J20" s="367"/>
      <c r="K20" s="355"/>
    </row>
    <row r="21" spans="1:12">
      <c r="A21" s="373"/>
      <c r="B21" s="367"/>
      <c r="C21" s="376"/>
      <c r="D21" s="367"/>
      <c r="E21" s="376"/>
      <c r="F21" s="367"/>
      <c r="G21" s="376"/>
      <c r="H21" s="367"/>
      <c r="I21" s="376"/>
      <c r="J21" s="367"/>
      <c r="K21" s="355"/>
    </row>
    <row r="22" spans="1:12">
      <c r="A22" s="373"/>
      <c r="B22" s="367"/>
      <c r="C22" s="378"/>
      <c r="D22" s="367"/>
      <c r="E22" s="378"/>
      <c r="F22" s="367"/>
      <c r="G22" s="378"/>
      <c r="H22" s="367"/>
      <c r="I22" s="375"/>
      <c r="J22" s="367"/>
      <c r="K22" s="355"/>
    </row>
    <row r="23" spans="1:12">
      <c r="A23" s="373"/>
      <c r="B23" s="367"/>
      <c r="C23" s="376"/>
      <c r="D23" s="367"/>
      <c r="E23" s="376"/>
      <c r="F23" s="367"/>
      <c r="G23" s="376"/>
      <c r="H23" s="367"/>
      <c r="I23" s="376"/>
      <c r="J23" s="367"/>
      <c r="K23" s="355"/>
    </row>
    <row r="24" spans="1:12">
      <c r="A24" s="373"/>
      <c r="B24" s="367"/>
      <c r="C24" s="378"/>
      <c r="D24" s="367"/>
      <c r="E24" s="378"/>
      <c r="F24" s="367"/>
      <c r="G24" s="378"/>
      <c r="H24" s="367"/>
      <c r="I24" s="375"/>
      <c r="J24" s="367"/>
      <c r="K24" s="355"/>
    </row>
    <row r="25" spans="1:12">
      <c r="A25" s="373"/>
      <c r="B25" s="367"/>
      <c r="C25" s="376"/>
      <c r="D25" s="367"/>
      <c r="E25" s="376"/>
      <c r="F25" s="367"/>
      <c r="G25" s="376"/>
      <c r="H25" s="367"/>
      <c r="I25" s="376"/>
      <c r="J25" s="367"/>
      <c r="K25" s="355"/>
    </row>
    <row r="26" spans="1:12">
      <c r="A26" s="373"/>
      <c r="B26" s="367"/>
      <c r="C26" s="376"/>
      <c r="D26" s="367"/>
      <c r="E26" s="376"/>
      <c r="F26" s="367"/>
      <c r="G26" s="376"/>
      <c r="H26" s="367"/>
      <c r="I26" s="376"/>
      <c r="J26" s="367"/>
      <c r="K26" s="355"/>
    </row>
    <row r="27" spans="1:12">
      <c r="A27" s="373"/>
      <c r="B27" s="367"/>
      <c r="C27" s="373"/>
      <c r="D27" s="367"/>
      <c r="E27" s="373"/>
      <c r="F27" s="367"/>
      <c r="G27" s="376"/>
      <c r="H27" s="367"/>
      <c r="I27" s="376"/>
      <c r="J27" s="367"/>
      <c r="K27" s="355"/>
    </row>
    <row r="28" spans="1:12">
      <c r="A28" s="370" t="s">
        <v>173</v>
      </c>
      <c r="B28" s="369">
        <f>SUM(B20:B27)</f>
        <v>0</v>
      </c>
      <c r="C28" s="370" t="s">
        <v>173</v>
      </c>
      <c r="D28" s="369">
        <f>SUM(D20:D27)</f>
        <v>0</v>
      </c>
      <c r="E28" s="370" t="s">
        <v>173</v>
      </c>
      <c r="F28" s="445">
        <f>SUM(F20:F27)</f>
        <v>0</v>
      </c>
      <c r="G28" s="370" t="s">
        <v>173</v>
      </c>
      <c r="H28" s="445">
        <f>SUM(H20:H27)</f>
        <v>0</v>
      </c>
      <c r="I28" s="370" t="s">
        <v>173</v>
      </c>
      <c r="J28" s="369">
        <f>SUM(J20:J27)</f>
        <v>0</v>
      </c>
      <c r="K28" s="369">
        <f>SUM(B28+D28+F28+H28+J28)</f>
        <v>0</v>
      </c>
    </row>
    <row r="29" spans="1:12">
      <c r="A29" s="370" t="s">
        <v>22</v>
      </c>
      <c r="B29" s="369">
        <f>B18-B28</f>
        <v>0</v>
      </c>
      <c r="C29" s="370" t="s">
        <v>22</v>
      </c>
      <c r="D29" s="369">
        <f>D18-D28</f>
        <v>0</v>
      </c>
      <c r="E29" s="370" t="s">
        <v>22</v>
      </c>
      <c r="F29" s="369">
        <f>F18-F28</f>
        <v>0</v>
      </c>
      <c r="G29" s="370" t="s">
        <v>22</v>
      </c>
      <c r="H29" s="369">
        <f>H18-H28</f>
        <v>0</v>
      </c>
      <c r="I29" s="370" t="s">
        <v>22</v>
      </c>
      <c r="J29" s="369">
        <f>J18-J28</f>
        <v>0</v>
      </c>
      <c r="K29" s="383">
        <f>SUM(B29+D29+F29+H29+J29)</f>
        <v>0</v>
      </c>
      <c r="L29" s="71" t="s">
        <v>63</v>
      </c>
    </row>
    <row r="30" spans="1:12">
      <c r="A30" s="370"/>
      <c r="B30" s="411" t="str">
        <f>IF(B29&lt;0,"See Tab B","")</f>
        <v/>
      </c>
      <c r="C30" s="370"/>
      <c r="D30" s="411" t="str">
        <f>IF(D29&lt;0,"See Tab B","")</f>
        <v/>
      </c>
      <c r="E30" s="370"/>
      <c r="F30" s="411" t="str">
        <f>IF(F29&lt;0,"See Tab B","")</f>
        <v/>
      </c>
      <c r="G30" s="124"/>
      <c r="H30" s="411" t="str">
        <f>IF(H29&lt;0,"See Tab B","")</f>
        <v/>
      </c>
      <c r="I30" s="124"/>
      <c r="J30" s="411" t="str">
        <f>IF(J29&lt;0,"See Tab B","")</f>
        <v/>
      </c>
      <c r="K30" s="380">
        <f>SUM(K7+K17-K28)</f>
        <v>0</v>
      </c>
      <c r="L30" s="71" t="s">
        <v>63</v>
      </c>
    </row>
    <row r="31" spans="1:12">
      <c r="A31" s="124"/>
      <c r="B31" s="381"/>
      <c r="C31" s="124"/>
      <c r="D31" s="355"/>
      <c r="E31" s="124"/>
      <c r="F31" s="124"/>
      <c r="G31" s="81" t="s">
        <v>64</v>
      </c>
      <c r="H31" s="81"/>
      <c r="I31" s="81"/>
      <c r="J31" s="81"/>
      <c r="K31" s="124"/>
    </row>
    <row r="32" spans="1:12">
      <c r="A32" s="124"/>
      <c r="B32" s="381"/>
      <c r="C32" s="124"/>
      <c r="D32" s="124"/>
      <c r="E32" s="124"/>
      <c r="F32" s="124"/>
      <c r="G32" s="124"/>
      <c r="H32" s="124"/>
      <c r="I32" s="124"/>
      <c r="J32" s="124"/>
      <c r="K32" s="124"/>
    </row>
    <row r="33" spans="1:11">
      <c r="A33" s="124"/>
      <c r="B33" s="381"/>
      <c r="C33" s="124"/>
      <c r="D33" s="124"/>
      <c r="E33" s="320" t="s">
        <v>188</v>
      </c>
      <c r="F33" s="347"/>
      <c r="G33" s="124"/>
      <c r="H33" s="124"/>
      <c r="I33" s="124"/>
      <c r="J33" s="124"/>
      <c r="K33" s="124"/>
    </row>
    <row r="34" spans="1:11">
      <c r="B34" s="382"/>
    </row>
    <row r="35" spans="1:11">
      <c r="B35" s="382"/>
    </row>
    <row r="36" spans="1:11">
      <c r="B36" s="382"/>
    </row>
    <row r="37" spans="1:11">
      <c r="B37" s="382"/>
    </row>
    <row r="38" spans="1:11">
      <c r="B38" s="382"/>
    </row>
    <row r="39" spans="1:11">
      <c r="B39" s="382"/>
    </row>
    <row r="40" spans="1:11">
      <c r="B40" s="382"/>
    </row>
    <row r="41" spans="1:11">
      <c r="B41" s="382"/>
    </row>
  </sheetData>
  <sheetProtection sheet="1"/>
  <mergeCells count="5">
    <mergeCell ref="I5:J5"/>
    <mergeCell ref="A5:B5"/>
    <mergeCell ref="C5:D5"/>
    <mergeCell ref="E5:F5"/>
    <mergeCell ref="G5:H5"/>
  </mergeCells>
  <phoneticPr fontId="8" type="noConversion"/>
  <pageMargins left="0.75" right="0.75" top="1" bottom="1" header="0.5" footer="0.5"/>
  <pageSetup scale="88" orientation="landscape" blackAndWhite="1" r:id="rId1"/>
  <headerFooter alignWithMargins="0">
    <oddHeader>&amp;RState of Kansas
County</oddHeader>
  </headerFooter>
</worksheet>
</file>

<file path=xl/worksheets/sheet41.xml><?xml version="1.0" encoding="utf-8"?>
<worksheet xmlns="http://schemas.openxmlformats.org/spreadsheetml/2006/main" xmlns:r="http://schemas.openxmlformats.org/officeDocument/2006/relationships">
  <dimension ref="A1:A48"/>
  <sheetViews>
    <sheetView topLeftCell="A22" workbookViewId="0">
      <selection activeCell="B7" sqref="B7"/>
    </sheetView>
  </sheetViews>
  <sheetFormatPr defaultRowHeight="15"/>
  <cols>
    <col min="1" max="1" width="62.44140625" style="164" customWidth="1"/>
    <col min="2" max="16384" width="8.88671875" style="164"/>
  </cols>
  <sheetData>
    <row r="1" spans="1:1" ht="18.75">
      <c r="A1" s="409" t="s">
        <v>367</v>
      </c>
    </row>
    <row r="2" spans="1:1" ht="15.75">
      <c r="A2" s="71"/>
    </row>
    <row r="3" spans="1:1" ht="54.75" customHeight="1">
      <c r="A3" s="410" t="s">
        <v>368</v>
      </c>
    </row>
    <row r="4" spans="1:1" ht="15.75">
      <c r="A4" s="536"/>
    </row>
    <row r="5" spans="1:1" ht="51" customHeight="1">
      <c r="A5" s="410" t="s">
        <v>369</v>
      </c>
    </row>
    <row r="6" spans="1:1" ht="15.75">
      <c r="A6" s="71"/>
    </row>
    <row r="7" spans="1:1" ht="51.75" customHeight="1">
      <c r="A7" s="410" t="s">
        <v>370</v>
      </c>
    </row>
    <row r="8" spans="1:1" ht="13.5" customHeight="1">
      <c r="A8" s="410"/>
    </row>
    <row r="9" spans="1:1" ht="51.75" customHeight="1">
      <c r="A9" s="485" t="s">
        <v>791</v>
      </c>
    </row>
    <row r="10" spans="1:1" ht="15.75">
      <c r="A10" s="536"/>
    </row>
    <row r="11" spans="1:1" ht="36" customHeight="1">
      <c r="A11" s="410" t="s">
        <v>371</v>
      </c>
    </row>
    <row r="12" spans="1:1" ht="15.75">
      <c r="A12" s="71"/>
    </row>
    <row r="13" spans="1:1" ht="51.75" customHeight="1">
      <c r="A13" s="410" t="s">
        <v>372</v>
      </c>
    </row>
    <row r="14" spans="1:1" ht="15.75">
      <c r="A14" s="536"/>
    </row>
    <row r="15" spans="1:1" ht="33" customHeight="1">
      <c r="A15" s="410" t="s">
        <v>373</v>
      </c>
    </row>
    <row r="16" spans="1:1" ht="15.75">
      <c r="A16" s="536"/>
    </row>
    <row r="17" spans="1:1" ht="32.25" customHeight="1">
      <c r="A17" s="410" t="s">
        <v>374</v>
      </c>
    </row>
    <row r="18" spans="1:1" ht="15.75">
      <c r="A18" s="536"/>
    </row>
    <row r="19" spans="1:1" ht="53.25" customHeight="1">
      <c r="A19" s="410" t="s">
        <v>375</v>
      </c>
    </row>
    <row r="20" spans="1:1" ht="15.75">
      <c r="A20" s="71"/>
    </row>
    <row r="21" spans="1:1" ht="50.25" customHeight="1">
      <c r="A21" s="410" t="s">
        <v>376</v>
      </c>
    </row>
    <row r="22" spans="1:1" ht="15.75">
      <c r="A22" s="71"/>
    </row>
    <row r="23" spans="1:1" ht="15.75">
      <c r="A23" s="71"/>
    </row>
    <row r="24" spans="1:1" ht="96" customHeight="1">
      <c r="A24" s="410" t="s">
        <v>377</v>
      </c>
    </row>
    <row r="25" spans="1:1" ht="15.75">
      <c r="A25" s="71"/>
    </row>
    <row r="26" spans="1:1" ht="30.75" customHeight="1">
      <c r="A26" s="74" t="s">
        <v>378</v>
      </c>
    </row>
    <row r="27" spans="1:1" ht="15.75">
      <c r="A27" s="71"/>
    </row>
    <row r="28" spans="1:1" ht="95.25" customHeight="1">
      <c r="A28" s="487" t="s">
        <v>792</v>
      </c>
    </row>
    <row r="29" spans="1:1" ht="15.75">
      <c r="A29" s="71"/>
    </row>
    <row r="30" spans="1:1" ht="34.5" customHeight="1">
      <c r="A30" s="410" t="s">
        <v>379</v>
      </c>
    </row>
    <row r="31" spans="1:1" ht="15.75">
      <c r="A31" s="71"/>
    </row>
    <row r="32" spans="1:1" ht="66" customHeight="1">
      <c r="A32" s="410" t="s">
        <v>380</v>
      </c>
    </row>
    <row r="33" spans="1:1" ht="15.75">
      <c r="A33" s="536"/>
    </row>
    <row r="34" spans="1:1" ht="57" customHeight="1">
      <c r="A34" s="410" t="s">
        <v>381</v>
      </c>
    </row>
    <row r="35" spans="1:1" ht="15.75">
      <c r="A35" s="71"/>
    </row>
    <row r="36" spans="1:1" ht="49.5" customHeight="1">
      <c r="A36" s="410" t="s">
        <v>382</v>
      </c>
    </row>
    <row r="37" spans="1:1" ht="15.75">
      <c r="A37" s="71"/>
    </row>
    <row r="38" spans="1:1" ht="74.25" customHeight="1">
      <c r="A38" s="487" t="s">
        <v>793</v>
      </c>
    </row>
    <row r="39" spans="1:1" ht="15.75">
      <c r="A39" s="71"/>
    </row>
    <row r="40" spans="1:1" ht="55.5" customHeight="1">
      <c r="A40" s="410" t="s">
        <v>383</v>
      </c>
    </row>
    <row r="41" spans="1:1" ht="15.75">
      <c r="A41" s="71"/>
    </row>
    <row r="42" spans="1:1" ht="53.25" customHeight="1">
      <c r="A42" s="410" t="s">
        <v>384</v>
      </c>
    </row>
    <row r="43" spans="1:1" ht="15.75">
      <c r="A43" s="536"/>
    </row>
    <row r="44" spans="1:1" ht="47.25" customHeight="1">
      <c r="A44" s="410" t="s">
        <v>385</v>
      </c>
    </row>
    <row r="45" spans="1:1" ht="15.75">
      <c r="A45" s="536"/>
    </row>
    <row r="46" spans="1:1" ht="49.5" customHeight="1">
      <c r="A46" s="410" t="s">
        <v>386</v>
      </c>
    </row>
    <row r="47" spans="1:1" ht="15.75">
      <c r="A47" s="536"/>
    </row>
    <row r="48" spans="1:1" ht="36" customHeight="1">
      <c r="A48" s="410" t="s">
        <v>387</v>
      </c>
    </row>
  </sheetData>
  <sheetProtection sheet="1"/>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sheetPr codeName="Sheet32">
    <pageSetUpPr fitToPage="1"/>
  </sheetPr>
  <dimension ref="A1:M79"/>
  <sheetViews>
    <sheetView topLeftCell="A49" zoomScaleNormal="100" workbookViewId="0">
      <selection activeCell="A49" sqref="A49"/>
    </sheetView>
  </sheetViews>
  <sheetFormatPr defaultRowHeight="15.75"/>
  <cols>
    <col min="1" max="1" width="17.77734375" style="71" customWidth="1"/>
    <col min="2" max="2" width="15.6640625" style="71" customWidth="1"/>
    <col min="3" max="3" width="9.44140625" style="71" customWidth="1"/>
    <col min="4" max="4" width="16.77734375" style="71" customWidth="1"/>
    <col min="5" max="5" width="9.77734375" style="71" customWidth="1"/>
    <col min="6" max="6" width="15.77734375" style="71" customWidth="1"/>
    <col min="7" max="7" width="13.6640625" style="71" customWidth="1"/>
    <col min="8" max="8" width="9.77734375" style="71" customWidth="1"/>
    <col min="9" max="9" width="8.88671875" style="71"/>
    <col min="10" max="10" width="12.44140625" style="71" customWidth="1"/>
    <col min="11" max="11" width="12.33203125" style="71" customWidth="1"/>
    <col min="12" max="12" width="10.5546875" style="71" customWidth="1"/>
    <col min="13" max="13" width="12.109375" style="71" customWidth="1"/>
    <col min="14" max="16384" width="8.88671875" style="71"/>
  </cols>
  <sheetData>
    <row r="1" spans="1:9">
      <c r="A1" s="84"/>
      <c r="B1" s="84"/>
      <c r="C1" s="84"/>
      <c r="D1" s="84"/>
      <c r="E1" s="84"/>
      <c r="F1" s="84"/>
      <c r="G1" s="84"/>
      <c r="H1" s="284">
        <f>inputPrYr!C4</f>
        <v>2014</v>
      </c>
    </row>
    <row r="2" spans="1:9">
      <c r="A2" s="750" t="s">
        <v>230</v>
      </c>
      <c r="B2" s="750"/>
      <c r="C2" s="750"/>
      <c r="D2" s="750"/>
      <c r="E2" s="750"/>
      <c r="F2" s="750"/>
      <c r="G2" s="750"/>
      <c r="H2" s="750"/>
      <c r="I2" s="384"/>
    </row>
    <row r="3" spans="1:9">
      <c r="A3" s="84"/>
      <c r="B3" s="84"/>
      <c r="C3" s="84"/>
      <c r="D3" s="84"/>
      <c r="E3" s="84"/>
      <c r="F3" s="84"/>
      <c r="G3" s="84"/>
      <c r="H3" s="84"/>
    </row>
    <row r="4" spans="1:9">
      <c r="A4" s="806" t="s">
        <v>261</v>
      </c>
      <c r="B4" s="806"/>
      <c r="C4" s="806"/>
      <c r="D4" s="806"/>
      <c r="E4" s="806"/>
      <c r="F4" s="806"/>
      <c r="G4" s="806"/>
      <c r="H4" s="806"/>
    </row>
    <row r="5" spans="1:9">
      <c r="A5" s="822" t="str">
        <f>inputPrYr!C2</f>
        <v>Lyon County</v>
      </c>
      <c r="B5" s="822"/>
      <c r="C5" s="822"/>
      <c r="D5" s="822"/>
      <c r="E5" s="822"/>
      <c r="F5" s="822"/>
      <c r="G5" s="822"/>
      <c r="H5" s="822"/>
    </row>
    <row r="6" spans="1:9">
      <c r="A6" s="816" t="str">
        <f>CONCATENATE("will meet on ",inputBudSum!B5," at ",inputBudSum!B7," at ",inputBudSum!B9," for the purpose of hearing and")</f>
        <v>will meet on 08/22/2013 at 10:00 AM at Lyon County Commission Chambers for the purpose of hearing and</v>
      </c>
      <c r="B6" s="816"/>
      <c r="C6" s="816"/>
      <c r="D6" s="816"/>
      <c r="E6" s="816"/>
      <c r="F6" s="816"/>
      <c r="G6" s="816"/>
      <c r="H6" s="816"/>
    </row>
    <row r="7" spans="1:9">
      <c r="A7" s="806" t="s">
        <v>652</v>
      </c>
      <c r="B7" s="806"/>
      <c r="C7" s="806"/>
      <c r="D7" s="806"/>
      <c r="E7" s="806"/>
      <c r="F7" s="806"/>
      <c r="G7" s="806"/>
      <c r="H7" s="806"/>
    </row>
    <row r="8" spans="1:9">
      <c r="A8" s="816" t="str">
        <f>CONCATENATE("Detailed budget information is available at ",inputBudSum!B12," and will be available at this hearing.")</f>
        <v>Detailed budget information is available at  and will be available at this hearing.</v>
      </c>
      <c r="B8" s="816"/>
      <c r="C8" s="816"/>
      <c r="D8" s="816"/>
      <c r="E8" s="816"/>
      <c r="F8" s="816"/>
      <c r="G8" s="816"/>
      <c r="H8" s="816"/>
    </row>
    <row r="9" spans="1:9">
      <c r="A9" s="91" t="s">
        <v>231</v>
      </c>
      <c r="B9" s="92"/>
      <c r="C9" s="92"/>
      <c r="D9" s="210"/>
      <c r="E9" s="92"/>
      <c r="F9" s="92"/>
      <c r="G9" s="92"/>
      <c r="H9" s="92"/>
    </row>
    <row r="10" spans="1:9">
      <c r="A10" s="806" t="str">
        <f>CONCATENATE("Proposed Budget ",H1," Expenditures and Amount of ",H1-1," Ad Valorem Tax establish the maximum limits of the ",H1," budget.")</f>
        <v>Proposed Budget 2014 Expenditures and Amount of 2013 Ad Valorem Tax establish the maximum limits of the 2014 budget.</v>
      </c>
      <c r="B10" s="806"/>
      <c r="C10" s="806"/>
      <c r="D10" s="806"/>
      <c r="E10" s="806"/>
      <c r="F10" s="806"/>
      <c r="G10" s="806"/>
      <c r="H10" s="806"/>
    </row>
    <row r="11" spans="1:9">
      <c r="A11" s="806" t="s">
        <v>286</v>
      </c>
      <c r="B11" s="806"/>
      <c r="C11" s="806"/>
      <c r="D11" s="806"/>
      <c r="E11" s="806"/>
      <c r="F11" s="806"/>
      <c r="G11" s="806"/>
      <c r="H11" s="806"/>
    </row>
    <row r="12" spans="1:9">
      <c r="A12" s="84"/>
      <c r="B12" s="84"/>
      <c r="C12" s="84"/>
      <c r="D12" s="84"/>
      <c r="E12" s="84"/>
      <c r="F12" s="84"/>
      <c r="G12" s="84"/>
      <c r="H12" s="84"/>
      <c r="I12" s="142"/>
    </row>
    <row r="13" spans="1:9">
      <c r="A13" s="84"/>
      <c r="B13" s="385" t="str">
        <f>CONCATENATE("Prior Year Actual for ",H1-2,"")</f>
        <v>Prior Year Actual for 2012</v>
      </c>
      <c r="C13" s="213"/>
      <c r="D13" s="386" t="str">
        <f>CONCATENATE("Current Year Estimate for ",H1-1,"")</f>
        <v>Current Year Estimate for 2013</v>
      </c>
      <c r="E13" s="213"/>
      <c r="F13" s="211" t="str">
        <f>CONCATENATE("Proposed Budget Year for ",H1,"")</f>
        <v>Proposed Budget Year for 2014</v>
      </c>
      <c r="G13" s="212"/>
      <c r="H13" s="213"/>
    </row>
    <row r="14" spans="1:9" ht="18.75" customHeight="1">
      <c r="A14" s="83"/>
      <c r="B14" s="321"/>
      <c r="C14" s="214" t="s">
        <v>190</v>
      </c>
      <c r="D14" s="214"/>
      <c r="E14" s="214" t="s">
        <v>190</v>
      </c>
      <c r="F14" s="512" t="s">
        <v>673</v>
      </c>
      <c r="G14" s="777" t="str">
        <f>CONCATENATE("Amount of ",H1-1,"       Ad Valorem Tax")</f>
        <v>Amount of 2013       Ad Valorem Tax</v>
      </c>
      <c r="H14" s="214" t="s">
        <v>191</v>
      </c>
    </row>
    <row r="15" spans="1:9">
      <c r="A15" s="112" t="s">
        <v>192</v>
      </c>
      <c r="B15" s="261" t="s">
        <v>141</v>
      </c>
      <c r="C15" s="261" t="s">
        <v>193</v>
      </c>
      <c r="D15" s="261" t="s">
        <v>141</v>
      </c>
      <c r="E15" s="261" t="s">
        <v>193</v>
      </c>
      <c r="F15" s="513" t="s">
        <v>674</v>
      </c>
      <c r="G15" s="757"/>
      <c r="H15" s="261" t="s">
        <v>193</v>
      </c>
    </row>
    <row r="16" spans="1:9">
      <c r="A16" s="126" t="str">
        <f>inputPrYr!B16</f>
        <v>General</v>
      </c>
      <c r="B16" s="126">
        <f>IF(general!$C$115&lt;&gt;0,general!$C$115,"  ")</f>
        <v>11673512.9</v>
      </c>
      <c r="C16" s="387">
        <f>IF(inputPrYr!D90&lt;&gt;0,inputPrYr!D90,"  ")</f>
        <v>28.170999999999999</v>
      </c>
      <c r="D16" s="126">
        <f>IF(general!$D$115&lt;&gt;0,general!$D$115,"  ")</f>
        <v>12051444</v>
      </c>
      <c r="E16" s="387">
        <f>IF(inputPrYr!F16&lt;&gt;0,inputPrYr!F16,"  ")</f>
        <v>31.97</v>
      </c>
      <c r="F16" s="126">
        <f>IF(general!$E$115&lt;&gt;0,general!$E$115,"  ")</f>
        <v>13125747</v>
      </c>
      <c r="G16" s="126">
        <f>IF(general!$E$122&lt;&gt;0,general!$E$122,"  ")</f>
        <v>8058697.9889000012</v>
      </c>
      <c r="H16" s="734">
        <f>IF(general!E122&lt;&gt;0,ROUND(G16/$F$65*1000,4),"  ")</f>
        <v>29.955200000000001</v>
      </c>
    </row>
    <row r="17" spans="1:8">
      <c r="A17" s="126" t="str">
        <f>inputPrYr!B17</f>
        <v>Debt Service</v>
      </c>
      <c r="B17" s="126" t="str">
        <f>IF(DebtService!$C$50&lt;&gt;0,DebtService!$C$50,"  ")</f>
        <v xml:space="preserve">  </v>
      </c>
      <c r="C17" s="387" t="str">
        <f>IF(inputPrYr!D91&lt;&gt;0,inputPrYr!D91,"  ")</f>
        <v xml:space="preserve">  </v>
      </c>
      <c r="D17" s="126" t="str">
        <f>IF(DebtService!$D$50&lt;&gt;0,DebtService!$D$50,"  ")</f>
        <v xml:space="preserve">  </v>
      </c>
      <c r="E17" s="387" t="str">
        <f>IF(inputPrYr!F17&lt;&gt;0,inputPrYr!F17,"  ")</f>
        <v xml:space="preserve">  </v>
      </c>
      <c r="F17" s="126" t="str">
        <f>IF(DebtService!$E$50&lt;&gt;0,DebtService!$E$50,"  ")</f>
        <v xml:space="preserve">  </v>
      </c>
      <c r="G17" s="126" t="str">
        <f>IF(DebtService!$E$57&lt;&gt;0,DebtService!$E$57,"  ")</f>
        <v xml:space="preserve">  </v>
      </c>
      <c r="H17" s="387" t="str">
        <f>IF(DebtService!E57&lt;&gt;0,ROUND(G17/$F$65*1000,3),"  ")</f>
        <v xml:space="preserve">  </v>
      </c>
    </row>
    <row r="18" spans="1:8">
      <c r="A18" s="126" t="str">
        <f>inputPrYr!B18</f>
        <v>Road &amp; Bridge</v>
      </c>
      <c r="B18" s="126">
        <f>IF(road!$C$111&lt;&gt;0,road!$C$111,"  ")</f>
        <v>5162387</v>
      </c>
      <c r="C18" s="387">
        <f>IF(inputPrYr!D92&lt;&gt;0,inputPrYr!D92,"  ")</f>
        <v>16.122</v>
      </c>
      <c r="D18" s="126">
        <f>IF(road!$D$111&lt;&gt;0,road!$D$111,"  ")</f>
        <v>5578135</v>
      </c>
      <c r="E18" s="387">
        <f>IF(inputPrYr!F18&lt;&gt;0,inputPrYr!F18,"  ")</f>
        <v>18.420000000000002</v>
      </c>
      <c r="F18" s="126">
        <f>IF(road!$E$111&lt;&gt;0,road!$E$111,"  ")</f>
        <v>5797364</v>
      </c>
      <c r="G18" s="126">
        <f>IF(road!$E$118&lt;&gt;0,road!$E$118,"  ")</f>
        <v>4069723.3618999999</v>
      </c>
      <c r="H18" s="734">
        <f>IF(road!E118&lt;&gt;0,ROUND(G18/$F$65*1000,4),"  ")</f>
        <v>15.127700000000001</v>
      </c>
    </row>
    <row r="19" spans="1:8">
      <c r="A19" s="126" t="str">
        <f>IF((inputPrYr!$B19&gt;" "),(inputPrYr!$B19),"  ")</f>
        <v>Multi-year Cap Imp (17)</v>
      </c>
      <c r="B19" s="126">
        <f>IF('MultiYr-Ment Health'!$C$34&lt;&gt;0,'MultiYr-Ment Health'!$C$34,"  ")</f>
        <v>1042458</v>
      </c>
      <c r="C19" s="387">
        <f>IF(inputPrYr!D93&lt;&gt;0,inputPrYr!D93,"  ")</f>
        <v>2.5049999999999999</v>
      </c>
      <c r="D19" s="126">
        <f>IF('MultiYr-Ment Health'!$D$34&lt;&gt;0,'MultiYr-Ment Health'!$D$34,"  ")</f>
        <v>950000</v>
      </c>
      <c r="E19" s="387">
        <f>IF(inputPrYr!F19&lt;&gt;0,inputPrYr!F19,"  ")</f>
        <v>3.81</v>
      </c>
      <c r="F19" s="126">
        <f>IF('MultiYr-Ment Health'!$E$34&lt;&gt;0,'MultiYr-Ment Health'!$E$34,"  ")</f>
        <v>1931520</v>
      </c>
      <c r="G19" s="126">
        <f>IF('MultiYr-Ment Health'!$E$41&lt;&gt;0,'MultiYr-Ment Health'!$E$41,"  ")</f>
        <v>893650.06</v>
      </c>
      <c r="H19" s="734">
        <f>IF('MultiYr-Ment Health'!E41&lt;&gt;0,ROUND(G19/$F$65*1000,4),"  ")</f>
        <v>3.3218000000000001</v>
      </c>
    </row>
    <row r="20" spans="1:8">
      <c r="A20" s="126" t="str">
        <f>IF((inputPrYr!$B20&gt;" "),(inputPrYr!$B20),"  ")</f>
        <v>Mental Health (23)</v>
      </c>
      <c r="B20" s="126">
        <f>IF('MultiYr-Ment Health'!$C$74&lt;&gt;0,'MultiYr-Ment Health'!$C$74,"  ")</f>
        <v>353421</v>
      </c>
      <c r="C20" s="387">
        <f>IF(inputPrYr!D94&lt;&gt;0,inputPrYr!D94,"  ")</f>
        <v>1.464</v>
      </c>
      <c r="D20" s="126">
        <f>IF('MultiYr-Ment Health'!$D$74&lt;&gt;0,'MultiYr-Ment Health'!$D$74,"  ")</f>
        <v>282737</v>
      </c>
      <c r="E20" s="387">
        <f>IF(inputPrYr!F20&lt;&gt;0,inputPrYr!F20,"  ")</f>
        <v>1</v>
      </c>
      <c r="F20" s="126">
        <f>IF('MultiYr-Ment Health'!$E$74&lt;&gt;0,'MultiYr-Ment Health'!$E$74,"  ")</f>
        <v>325000</v>
      </c>
      <c r="G20" s="126">
        <f>IF('MultiYr-Ment Health'!$E$81&lt;&gt;0,'MultiYr-Ment Health'!$E$81,"  ")</f>
        <v>278368.07</v>
      </c>
      <c r="H20" s="734">
        <f>IF('MultiYr-Ment Health'!E81&lt;&gt;0,ROUND(G20/$F$65*1000,4),"  ")</f>
        <v>1.0347</v>
      </c>
    </row>
    <row r="21" spans="1:8">
      <c r="A21" s="126" t="str">
        <f>IF((inputPrYr!$B21&gt;" "),(inputPrYr!$B21),"  ")</f>
        <v>Newman Hospital (25)</v>
      </c>
      <c r="B21" s="126" t="str">
        <f>IF('NHosp-Noxious'!$C$33&lt;&gt;0,'NHosp-Noxious'!$C$33,"  ")</f>
        <v xml:space="preserve">  </v>
      </c>
      <c r="C21" s="387">
        <f>IF(inputPrYr!D95&lt;&gt;0,inputPrYr!D95,"  ")</f>
        <v>1.994</v>
      </c>
      <c r="D21" s="126">
        <f>IF('NHosp-Noxious'!$D$33&lt;&gt;0,'NHosp-Noxious'!$D$33,"  ")</f>
        <v>425000</v>
      </c>
      <c r="E21" s="387">
        <f>IF(inputPrYr!F21&lt;&gt;0,inputPrYr!F21,"  ")</f>
        <v>1.71</v>
      </c>
      <c r="F21" s="126">
        <f>IF('NHosp-Noxious'!$E$33&lt;&gt;0,'NHosp-Noxious'!$E$33,"  ")</f>
        <v>425000</v>
      </c>
      <c r="G21" s="126">
        <f>IF('NHosp-Noxious'!$E$40&lt;&gt;0,'NHosp-Noxious'!$E$40,"  ")</f>
        <v>378955.56</v>
      </c>
      <c r="H21" s="734">
        <f>IF('NHosp-Noxious'!$E$40&lt;&gt;0,ROUND(G21/$F$65*1000,4),"  ")</f>
        <v>1.4086000000000001</v>
      </c>
    </row>
    <row r="22" spans="1:8">
      <c r="A22" s="126" t="str">
        <f>IF((inputPrYr!$B22&gt;" "),(inputPrYr!$B22),"  ")</f>
        <v>Noxious Weeds (26)</v>
      </c>
      <c r="B22" s="126">
        <f>IF('NHosp-Noxious'!$C$73&lt;&gt;0,'NHosp-Noxious'!$C$73,"  ")</f>
        <v>273878</v>
      </c>
      <c r="C22" s="387">
        <f>IF(inputPrYr!D96&lt;&gt;0,inputPrYr!D96,"  ")</f>
        <v>0.35499999999999998</v>
      </c>
      <c r="D22" s="126">
        <f>IF('NHosp-Noxious'!$D$73&lt;&gt;0,'NHosp-Noxious'!$D$73,"  ")</f>
        <v>293277</v>
      </c>
      <c r="E22" s="387">
        <f>IF(inputPrYr!F22&lt;&gt;0,inputPrYr!F22,"  ")</f>
        <v>0.67</v>
      </c>
      <c r="F22" s="126">
        <f>IF('NHosp-Noxious'!$E$73&lt;&gt;0,'NHosp-Noxious'!$E$73,"  ")</f>
        <v>312245</v>
      </c>
      <c r="G22" s="126">
        <f>IF('NHosp-Noxious'!$E$80&lt;&gt;0,'NHosp-Noxious'!$E$80,"  ")</f>
        <v>163047.59</v>
      </c>
      <c r="H22" s="734">
        <f>IF('NHosp-Noxious'!$E$80&lt;&gt;0,ROUND(G22/$F$65*1000,4),"  ")</f>
        <v>0.60609999999999997</v>
      </c>
    </row>
    <row r="23" spans="1:8">
      <c r="A23" s="190" t="str">
        <f>IF((inputPrYr!$B23&gt;" "),(inputPrYr!$B23),"  ")</f>
        <v>Hetlinger Development (28)</v>
      </c>
      <c r="B23" s="126">
        <f>IF('Hetling-Sp Brg1135'!$C$33&lt;&gt;0,'Hetling-Sp Brg1135'!$C$33,"  ")</f>
        <v>20000</v>
      </c>
      <c r="C23" s="387">
        <f>IF(inputPrYr!D97&lt;&gt;0,inputPrYr!D97,"  ")</f>
        <v>7.8E-2</v>
      </c>
      <c r="D23" s="126">
        <f>IF('Hetling-Sp Brg1135'!$D$33&lt;&gt;0,'Hetling-Sp Brg1135'!$D$33,"  ")</f>
        <v>20000</v>
      </c>
      <c r="E23" s="387">
        <f>IF(inputPrYr!F23&lt;&gt;0,inputPrYr!F23,"  ")</f>
        <v>7.4999999999999997E-2</v>
      </c>
      <c r="F23" s="126">
        <f>IF('Hetling-Sp Brg1135'!$E$33&lt;&gt;0,'Hetling-Sp Brg1135'!$E$33,"  ")</f>
        <v>20000</v>
      </c>
      <c r="G23" s="126">
        <f>IF('Hetling-Sp Brg1135'!$E$40&lt;&gt;0,'Hetling-Sp Brg1135'!$E$40,"  ")</f>
        <v>16505.95</v>
      </c>
      <c r="H23" s="734">
        <f>IF('Hetling-Sp Brg1135'!$E$40&lt;&gt;0,ROUND(G23/$F$65*1000,4),"  ")</f>
        <v>6.1400000000000003E-2</v>
      </c>
    </row>
    <row r="24" spans="1:8">
      <c r="A24" s="126" t="str">
        <f>IF((inputPrYr!$B24&gt;" "),(inputPrYr!$B24),"  ")</f>
        <v>Special Bridge 1135 (33)</v>
      </c>
      <c r="B24" s="126">
        <f>IF('Hetling-Sp Brg1135'!$C$73&lt;&gt;0,'Hetling-Sp Brg1135'!$C$73,"  ")</f>
        <v>561929</v>
      </c>
      <c r="C24" s="387">
        <f>IF(inputPrYr!D98&lt;&gt;0,inputPrYr!D98,"  ")</f>
        <v>2.4500000000000002</v>
      </c>
      <c r="D24" s="126">
        <f>IF('Hetling-Sp Brg1135'!$D$73&lt;&gt;0,'Hetling-Sp Brg1135'!$D$73,"  ")</f>
        <v>603779</v>
      </c>
      <c r="E24" s="387">
        <f>IF(inputPrYr!F24&lt;&gt;0,inputPrYr!F24,"  ")</f>
        <v>1.99</v>
      </c>
      <c r="F24" s="126">
        <f>IF('Hetling-Sp Brg1135'!$E$73&lt;&gt;0,'Hetling-Sp Brg1135'!$E$73,"  ")</f>
        <v>671719</v>
      </c>
      <c r="G24" s="126">
        <f>IF('Hetling-Sp Brg1135'!$E$80&lt;&gt;0,'Hetling-Sp Brg1135'!$E$80,"  ")</f>
        <v>353257.91000000003</v>
      </c>
      <c r="H24" s="734">
        <f>IF('Hetling-Sp Brg1135'!$E$80&lt;&gt;0,ROUND(G24/$F$65*1000,4),"  ")</f>
        <v>1.3130999999999999</v>
      </c>
    </row>
    <row r="25" spans="1:8">
      <c r="A25" s="126" t="str">
        <f>IF((inputPrYr!$B25&gt;" "),(inputPrYr!$B25),"  ")</f>
        <v>Special R&amp;B 559A (41)</v>
      </c>
      <c r="B25" s="126">
        <f>IF('Spec R&amp;B-Tort'!$C$33&lt;&gt;0,'Spec R&amp;B-Tort'!$C$33,"  ")</f>
        <v>306698</v>
      </c>
      <c r="C25" s="387">
        <f>IF(inputPrYr!D99&lt;&gt;0,inputPrYr!D99,"  ")</f>
        <v>1.22</v>
      </c>
      <c r="D25" s="126">
        <f>IF('Spec R&amp;B-Tort'!$D$33&lt;&gt;0,'Spec R&amp;B-Tort'!$D$33,"  ")</f>
        <v>345000</v>
      </c>
      <c r="E25" s="387">
        <f>IF(inputPrYr!F25&lt;&gt;0,inputPrYr!F25,"  ")</f>
        <v>1.4019999999999999</v>
      </c>
      <c r="F25" s="126">
        <f>IF('Spec R&amp;B-Tort'!$E$33&lt;&gt;0,'Spec R&amp;B-Tort'!$E$33,"  ")</f>
        <v>346000</v>
      </c>
      <c r="G25" s="126">
        <f>IF('Spec R&amp;B-Tort'!$E$40&lt;&gt;0,'Spec R&amp;B-Tort'!$E$40,"  ")</f>
        <v>329712.71999999997</v>
      </c>
      <c r="H25" s="734">
        <f>IF('Spec R&amp;B-Tort'!$E$40&lt;&gt;0,ROUND(G25/$F$65*1000,4),"  ")</f>
        <v>1.2256</v>
      </c>
    </row>
    <row r="26" spans="1:8">
      <c r="A26" s="126" t="str">
        <f>IF((inputPrYr!$B26&gt;" "),(inputPrYr!$B26),"  ")</f>
        <v xml:space="preserve">Tort Liability (53) </v>
      </c>
      <c r="B26" s="126">
        <f>IF('Spec R&amp;B-Tort'!$C$73&lt;&gt;0,'Spec R&amp;B-Tort'!$C$73,"  ")</f>
        <v>259871</v>
      </c>
      <c r="C26" s="387">
        <f>IF(inputPrYr!D100&lt;&gt;0,inputPrYr!D100,"  ")</f>
        <v>0.83199999999999996</v>
      </c>
      <c r="D26" s="126">
        <f>IF('Spec R&amp;B-Tort'!$D$73&lt;&gt;0,'Spec R&amp;B-Tort'!$D$73,"  ")</f>
        <v>256712</v>
      </c>
      <c r="E26" s="387">
        <f>IF(inputPrYr!F26&lt;&gt;0,inputPrYr!F26,"  ")</f>
        <v>0.67500000000000004</v>
      </c>
      <c r="F26" s="126">
        <f>IF('Spec R&amp;B-Tort'!$E$73&lt;&gt;0,'Spec R&amp;B-Tort'!$E$73,"  ")</f>
        <v>280000</v>
      </c>
      <c r="G26" s="126">
        <f>IF('Spec R&amp;B-Tort'!$E$80&lt;&gt;0,'Spec R&amp;B-Tort'!$E$80,"  ")</f>
        <v>166177.84</v>
      </c>
      <c r="H26" s="734">
        <f>IF('Spec R&amp;B-Tort'!$E$80&lt;&gt;0,ROUND(G26/$F$65*1000,4),"  ")</f>
        <v>0.61770000000000003</v>
      </c>
    </row>
    <row r="27" spans="1:8">
      <c r="A27" s="126" t="str">
        <f>IF((inputPrYr!$B27&gt;" "),(inputPrYr!$B27),"  ")</f>
        <v>Health Department (66)</v>
      </c>
      <c r="B27" s="126">
        <f>IF('Health Dept-B&amp;I'!$C$33&lt;&gt;0,'Health Dept-B&amp;I'!$C$33,"  ")</f>
        <v>608833</v>
      </c>
      <c r="C27" s="387">
        <f>IF(inputPrYr!D101&lt;&gt;0,inputPrYr!D101,"  ")</f>
        <v>2.113</v>
      </c>
      <c r="D27" s="126">
        <f>IF('Health Dept-B&amp;I'!$D$33&lt;&gt;0,'Health Dept-B&amp;I'!$D$33,"  ")</f>
        <v>608833</v>
      </c>
      <c r="E27" s="387">
        <f>IF(inputPrYr!F27&lt;&gt;0,inputPrYr!F27,"  ")</f>
        <v>2.25</v>
      </c>
      <c r="F27" s="126">
        <f>IF('Health Dept-B&amp;I'!$E$33&lt;&gt;0,'Health Dept-B&amp;I'!$E$33,"  ")</f>
        <v>580000</v>
      </c>
      <c r="G27" s="126">
        <f>IF('Health Dept-B&amp;I'!$E$40&lt;&gt;0,'Health Dept-B&amp;I'!$E$40,"  ")</f>
        <v>495135.4</v>
      </c>
      <c r="H27" s="734">
        <f>IF('Health Dept-B&amp;I'!$E$40&lt;&gt;0,ROUND(G27/$F$65*1000,4),"  ")</f>
        <v>1.8405</v>
      </c>
    </row>
    <row r="28" spans="1:8">
      <c r="A28" s="126" t="str">
        <f>IF((inputPrYr!$B28&gt;" "),(inputPrYr!$B28),"  ")</f>
        <v>Bond &amp; Interest (50)</v>
      </c>
      <c r="B28" s="126">
        <f>IF('Health Dept-B&amp;I'!$C$73&lt;&gt;0,'Health Dept-B&amp;I'!$C$73,"  ")</f>
        <v>975</v>
      </c>
      <c r="C28" s="387" t="str">
        <f>IF(inputPrYr!D102&lt;&gt;0,inputPrYr!D102,"  ")</f>
        <v xml:space="preserve">  </v>
      </c>
      <c r="D28" s="126" t="str">
        <f>IF('Health Dept-B&amp;I'!$D$73&lt;&gt;0,'Health Dept-B&amp;I'!$D$73,"  ")</f>
        <v xml:space="preserve">  </v>
      </c>
      <c r="E28" s="387" t="str">
        <f>IF(inputPrYr!F28&lt;&gt;0,inputPrYr!F28,"  ")</f>
        <v xml:space="preserve">  </v>
      </c>
      <c r="F28" s="126" t="str">
        <f>IF('Health Dept-B&amp;I'!$E$73&lt;&gt;0,'Health Dept-B&amp;I'!$E$73,"  ")</f>
        <v xml:space="preserve">  </v>
      </c>
      <c r="G28" s="126" t="str">
        <f>IF('Health Dept-B&amp;I'!$E$80&lt;&gt;0,'Health Dept-B&amp;I'!$E$80,"  ")</f>
        <v xml:space="preserve">  </v>
      </c>
      <c r="H28" s="387" t="str">
        <f>IF('Health Dept-B&amp;I'!$E$80&lt;&gt;0,ROUND(G28/$F$65*1000,3),"  ")</f>
        <v xml:space="preserve">  </v>
      </c>
    </row>
    <row r="29" spans="1:8">
      <c r="A29" s="126" t="str">
        <f>IF((inputPrYr!$B29&gt;" "),(inputPrYr!$B29),"  ")</f>
        <v>No Fund Warrant (51)</v>
      </c>
      <c r="B29" s="126" t="str">
        <f>IF('No Fund W'!$C$33&lt;&gt;0,'No Fund W'!$C$33,"  ")</f>
        <v xml:space="preserve">  </v>
      </c>
      <c r="C29" s="387" t="str">
        <f>IF(inputPrYr!D103&lt;&gt;0,inputPrYr!D103,"  ")</f>
        <v xml:space="preserve">  </v>
      </c>
      <c r="D29" s="126" t="str">
        <f>IF('No Fund W'!$D$33&lt;&gt;0,'No Fund W'!$D$33,"  ")</f>
        <v xml:space="preserve">  </v>
      </c>
      <c r="E29" s="387" t="str">
        <f>IF(inputPrYr!F29&lt;&gt;0,inputPrYr!F29,"  ")</f>
        <v xml:space="preserve">  </v>
      </c>
      <c r="F29" s="126" t="str">
        <f>IF('No Fund W'!$E$33&lt;&gt;0,'No Fund W'!$E$33,"  ")</f>
        <v xml:space="preserve">  </v>
      </c>
      <c r="G29" s="126" t="str">
        <f>IF('No Fund W'!$E$40&lt;&gt;0,'No Fund W'!$E$40,"  ")</f>
        <v xml:space="preserve">  </v>
      </c>
      <c r="H29" s="387" t="str">
        <f>IF('No Fund W'!$E$40&lt;&gt;0,ROUND(G29/$F$65*1000,3),"  ")</f>
        <v xml:space="preserve">  </v>
      </c>
    </row>
    <row r="30" spans="1:8">
      <c r="A30" s="126" t="str">
        <f>IF((inputPrYr!$B30&gt;" "),(inputPrYr!$B30),"  ")</f>
        <v xml:space="preserve">  </v>
      </c>
      <c r="B30" s="126" t="str">
        <f>IF('No Fund W'!$C$73&lt;&gt;0,'No Fund W'!$C$73,"  ")</f>
        <v xml:space="preserve">  </v>
      </c>
      <c r="C30" s="387" t="str">
        <f>IF(inputPrYr!D104&lt;&gt;0,inputPrYr!D104,"  ")</f>
        <v xml:space="preserve">  </v>
      </c>
      <c r="D30" s="126" t="str">
        <f>IF('No Fund W'!$D$73&lt;&gt;0,'No Fund W'!$D$73,"  ")</f>
        <v xml:space="preserve">  </v>
      </c>
      <c r="E30" s="387" t="str">
        <f>IF(inputPrYr!F30&lt;&gt;0,inputPrYr!F30,"  ")</f>
        <v xml:space="preserve">  </v>
      </c>
      <c r="F30" s="126" t="str">
        <f>IF('No Fund W'!$E$73&lt;&gt;0,'No Fund W'!$E$73,"  ")</f>
        <v xml:space="preserve">  </v>
      </c>
      <c r="G30" s="126" t="str">
        <f>IF('No Fund W'!$E$80&lt;&gt;0,'No Fund W'!$E$80,"  ")</f>
        <v xml:space="preserve">  </v>
      </c>
      <c r="H30" s="387" t="str">
        <f>IF('No Fund W'!$E$80&lt;&gt;0,ROUND(G30/$F$65*1000,3),"  ")</f>
        <v xml:space="preserve">  </v>
      </c>
    </row>
    <row r="31" spans="1:8">
      <c r="A31" s="126" t="str">
        <f>IF((inputPrYr!$B31&gt;" "),(inputPrYr!$B31),"  ")</f>
        <v xml:space="preserve">  </v>
      </c>
      <c r="B31" s="126" t="str">
        <f>IF('levy page16'!$C$33&lt;&gt;0,'levy page16'!$C$33,"  ")</f>
        <v xml:space="preserve">  </v>
      </c>
      <c r="C31" s="387" t="str">
        <f>IF(inputPrYr!D105&lt;&gt;0,inputPrYr!D105,"  ")</f>
        <v xml:space="preserve">  </v>
      </c>
      <c r="D31" s="126" t="str">
        <f>IF('levy page16'!$D$33&lt;&gt;0,'levy page16'!$D$33,"  ")</f>
        <v xml:space="preserve">  </v>
      </c>
      <c r="E31" s="387" t="str">
        <f>IF(inputPrYr!F31&lt;&gt;0,inputPrYr!F31,"  ")</f>
        <v xml:space="preserve">  </v>
      </c>
      <c r="F31" s="126" t="str">
        <f>IF('levy page16'!$E$33&lt;&gt;0,'levy page16'!$E$33,"  ")</f>
        <v xml:space="preserve">  </v>
      </c>
      <c r="G31" s="126" t="str">
        <f>IF('levy page16'!$E$40&lt;&gt;0,'levy page16'!$E$40,"  ")</f>
        <v xml:space="preserve">  </v>
      </c>
      <c r="H31" s="387" t="str">
        <f>IF('levy page16'!$E$40&lt;&gt;0,ROUND(G31/$F$65*1000,3),"  ")</f>
        <v xml:space="preserve">  </v>
      </c>
    </row>
    <row r="32" spans="1:8" hidden="1">
      <c r="A32" s="126" t="str">
        <f>IF((inputPrYr!$B32&gt;" "),(inputPrYr!$B32),"  ")</f>
        <v xml:space="preserve">  </v>
      </c>
      <c r="B32" s="126" t="str">
        <f>IF('levy page16'!$C$73&lt;&gt;0,'levy page16'!$C$73,"  ")</f>
        <v xml:space="preserve">  </v>
      </c>
      <c r="C32" s="387" t="str">
        <f>IF(inputPrYr!D106&lt;&gt;0,inputPrYr!D106,"  ")</f>
        <v xml:space="preserve">  </v>
      </c>
      <c r="D32" s="126" t="str">
        <f>IF('levy page16'!$D$73&lt;&gt;0,'levy page16'!$D$73,"  ")</f>
        <v xml:space="preserve">  </v>
      </c>
      <c r="E32" s="387" t="str">
        <f>IF(inputPrYr!F32&lt;&gt;0,inputPrYr!F32,"  ")</f>
        <v xml:space="preserve">  </v>
      </c>
      <c r="F32" s="126" t="str">
        <f>IF('levy page16'!$E$73&lt;&gt;0,'levy page16'!$E$73,"  ")</f>
        <v xml:space="preserve">  </v>
      </c>
      <c r="G32" s="126" t="str">
        <f>IF('levy page16'!$E$80&lt;&gt;0,'levy page16'!$E$80,"  ")</f>
        <v xml:space="preserve">  </v>
      </c>
      <c r="H32" s="387" t="str">
        <f>IF('levy page16'!$E$80&lt;&gt;0,ROUND(G32/$F$65*1000,3),"  ")</f>
        <v xml:space="preserve">  </v>
      </c>
    </row>
    <row r="33" spans="1:8" hidden="1">
      <c r="A33" s="126" t="str">
        <f>IF((inputPrYr!$B33&gt;" "),(inputPrYr!$B33),"  ")</f>
        <v xml:space="preserve">  </v>
      </c>
      <c r="B33" s="126" t="str">
        <f>IF('levy page17'!$C$33&lt;&gt;0,'levy page17'!$C$33,"  ")</f>
        <v xml:space="preserve">  </v>
      </c>
      <c r="C33" s="387" t="str">
        <f>IF(inputPrYr!D107&lt;&gt;0,inputPrYr!D107,"  ")</f>
        <v xml:space="preserve">  </v>
      </c>
      <c r="D33" s="126" t="str">
        <f>IF('levy page17'!$D$33&lt;&gt;0,'levy page17'!$D$33,"  ")</f>
        <v xml:space="preserve">  </v>
      </c>
      <c r="E33" s="387" t="str">
        <f>IF(inputPrYr!F33&lt;&gt;0,inputPrYr!F33,"  ")</f>
        <v xml:space="preserve">  </v>
      </c>
      <c r="F33" s="126" t="str">
        <f>IF('levy page17'!$E$33&lt;&gt;0,'levy page17'!$E$33,"  ")</f>
        <v xml:space="preserve">  </v>
      </c>
      <c r="G33" s="126" t="str">
        <f>IF('levy page17'!$E$40&lt;&gt;0,'levy page17'!$E$40,"  ")</f>
        <v xml:space="preserve">  </v>
      </c>
      <c r="H33" s="387" t="str">
        <f>IF('levy page17'!$E$40&lt;&gt;0,ROUND(G33/$F$65*1000,3),"  ")</f>
        <v xml:space="preserve">  </v>
      </c>
    </row>
    <row r="34" spans="1:8" hidden="1">
      <c r="A34" s="126" t="str">
        <f>IF((inputPrYr!$B34&gt;" "),(inputPrYr!$B34),"  ")</f>
        <v xml:space="preserve">  </v>
      </c>
      <c r="B34" s="126" t="str">
        <f>IF('levy page17'!$C$73&lt;&gt;0,'levy page17'!$C$73,"  ")</f>
        <v xml:space="preserve">  </v>
      </c>
      <c r="C34" s="387" t="str">
        <f>IF(inputPrYr!D108&lt;&gt;0,inputPrYr!D108,"  ")</f>
        <v xml:space="preserve">  </v>
      </c>
      <c r="D34" s="126" t="str">
        <f>IF('levy page17'!$D$73&lt;&gt;0,'levy page17'!$D$73,"  ")</f>
        <v xml:space="preserve">  </v>
      </c>
      <c r="E34" s="387" t="str">
        <f>IF(inputPrYr!F34&lt;&gt;0,inputPrYr!F34,"  ")</f>
        <v xml:space="preserve">  </v>
      </c>
      <c r="F34" s="126" t="str">
        <f>IF('levy page17'!$E$73&lt;&gt;0,'levy page17'!$E$73,"  ")</f>
        <v xml:space="preserve">  </v>
      </c>
      <c r="G34" s="126" t="str">
        <f>IF('levy page17'!$E$80&lt;&gt;0,'levy page17'!$E$80,"  ")</f>
        <v xml:space="preserve">  </v>
      </c>
      <c r="H34" s="387" t="str">
        <f>IF('levy page17'!$E$80&lt;&gt;0,ROUND(G34/$F$65*1000,3),"  ")</f>
        <v xml:space="preserve">  </v>
      </c>
    </row>
    <row r="35" spans="1:8" hidden="1">
      <c r="A35" s="126" t="str">
        <f>IF((inputPrYr!$B35&gt;" "),(inputPrYr!$B35),"  ")</f>
        <v xml:space="preserve">  </v>
      </c>
      <c r="B35" s="126" t="str">
        <f>IF('levy page18'!$C$33&lt;&gt;0,'levy page18'!$C$33,"  ")</f>
        <v xml:space="preserve">  </v>
      </c>
      <c r="C35" s="387" t="str">
        <f>IF(inputPrYr!D109&lt;&gt;0,inputPrYr!D109,"  ")</f>
        <v xml:space="preserve">  </v>
      </c>
      <c r="D35" s="126" t="str">
        <f>IF('levy page18'!$D$33&lt;&gt;0,'levy page18'!$D$33,"  ")</f>
        <v xml:space="preserve">  </v>
      </c>
      <c r="E35" s="387" t="str">
        <f>IF(inputPrYr!F35&lt;&gt;0,inputPrYr!F35,"  ")</f>
        <v xml:space="preserve">  </v>
      </c>
      <c r="F35" s="126" t="str">
        <f>IF('levy page18'!$E$33&lt;&gt;0,'levy page18'!$E$33,"  ")</f>
        <v xml:space="preserve">  </v>
      </c>
      <c r="G35" s="126" t="str">
        <f>IF('levy page18'!$E$40&lt;&gt;0,'levy page18'!$E$40,"  ")</f>
        <v xml:space="preserve">  </v>
      </c>
      <c r="H35" s="387" t="str">
        <f>IF('levy page18'!$E$40&lt;&gt;0,ROUND(G35/$F$65*1000,3),"  ")</f>
        <v xml:space="preserve">  </v>
      </c>
    </row>
    <row r="36" spans="1:8" hidden="1">
      <c r="A36" s="126" t="str">
        <f>IF((inputPrYr!$B36&gt;" "),(inputPrYr!$B36),"  ")</f>
        <v xml:space="preserve">  </v>
      </c>
      <c r="B36" s="126" t="str">
        <f>IF('levy page18'!$C$73&lt;&gt;0,'levy page18'!$C$73,"  ")</f>
        <v xml:space="preserve">  </v>
      </c>
      <c r="C36" s="387" t="str">
        <f>IF(inputPrYr!D110&lt;&gt;0,inputPrYr!D110,"  ")</f>
        <v xml:space="preserve">  </v>
      </c>
      <c r="D36" s="126" t="str">
        <f>IF('levy page18'!$D$73&lt;&gt;0,'levy page18'!$D$73,"  ")</f>
        <v xml:space="preserve">  </v>
      </c>
      <c r="E36" s="387" t="str">
        <f>IF(inputPrYr!F36&lt;&gt;0,inputPrYr!F36,"  ")</f>
        <v xml:space="preserve">  </v>
      </c>
      <c r="F36" s="126" t="str">
        <f>IF('levy page18'!$E$73&lt;&gt;0,'levy page18'!$E$73,"  ")</f>
        <v xml:space="preserve">  </v>
      </c>
      <c r="G36" s="126" t="str">
        <f>IF('levy page18'!$E$80&lt;&gt;0,'levy page18'!$E$80,"  ")</f>
        <v xml:space="preserve">  </v>
      </c>
      <c r="H36" s="387" t="str">
        <f>IF('levy page18'!$E$80&lt;&gt;0,ROUND(G36/$F$65*1000,3),"  ")</f>
        <v xml:space="preserve">  </v>
      </c>
    </row>
    <row r="37" spans="1:8" hidden="1">
      <c r="A37" s="126" t="str">
        <f>IF((inputPrYr!$B37&gt;" "),(inputPrYr!$B37),"  ")</f>
        <v xml:space="preserve">  </v>
      </c>
      <c r="B37" s="126" t="str">
        <f>IF('levy page19'!C33&lt;&gt;0,'levy page19'!C33,"  ")</f>
        <v xml:space="preserve">  </v>
      </c>
      <c r="C37" s="387" t="str">
        <f>IF(inputPrYr!D111&lt;&gt;0,inputPrYr!D111,"  ")</f>
        <v xml:space="preserve">  </v>
      </c>
      <c r="D37" s="126" t="str">
        <f>IF('levy page19'!D33&lt;&gt;0,'levy page19'!D33,"  ")</f>
        <v xml:space="preserve">  </v>
      </c>
      <c r="E37" s="387" t="str">
        <f>IF(inputPrYr!F37&lt;&gt;0,inputPrYr!F37,"  ")</f>
        <v xml:space="preserve">  </v>
      </c>
      <c r="F37" s="126" t="str">
        <f>IF('levy page19'!E33&lt;&gt;0,'levy page19'!E33,"  ")</f>
        <v xml:space="preserve">  </v>
      </c>
      <c r="G37" s="126" t="str">
        <f>IF('levy page19'!E40&lt;&gt;0,'levy page19'!E40,"  ")</f>
        <v xml:space="preserve">  </v>
      </c>
      <c r="H37" s="387" t="str">
        <f>IF('levy page19'!E40&lt;&gt;0,ROUND(G37/$F$65*1000,3),"  ")</f>
        <v xml:space="preserve">  </v>
      </c>
    </row>
    <row r="38" spans="1:8" hidden="1">
      <c r="A38" s="126" t="str">
        <f>IF((inputPrYr!$B38&gt;" "),(inputPrYr!$B38),"  ")</f>
        <v xml:space="preserve">  </v>
      </c>
      <c r="B38" s="126" t="str">
        <f>IF('levy page19'!C73&lt;&gt;0,'levy page19'!C73,"  ")</f>
        <v xml:space="preserve">  </v>
      </c>
      <c r="C38" s="387" t="str">
        <f>IF(inputPrYr!D112&lt;&gt;0,inputPrYr!D112,"  ")</f>
        <v xml:space="preserve">  </v>
      </c>
      <c r="D38" s="126" t="str">
        <f>IF('levy page19'!D73&lt;&gt;0,'levy page19'!D73,"  ")</f>
        <v xml:space="preserve">  </v>
      </c>
      <c r="E38" s="387" t="str">
        <f>IF(inputPrYr!F38&lt;&gt;0,inputPrYr!F38,"  ")</f>
        <v xml:space="preserve">  </v>
      </c>
      <c r="F38" s="126" t="str">
        <f>IF('levy page19'!E73&lt;&gt;0,'levy page19'!E73,"  ")</f>
        <v xml:space="preserve">  </v>
      </c>
      <c r="G38" s="126" t="str">
        <f>IF('levy page19'!E80&lt;&gt;0,'levy page19'!E80,"  ")</f>
        <v xml:space="preserve">  </v>
      </c>
      <c r="H38" s="387" t="str">
        <f>IF('levy page19'!E80&lt;&gt;0,ROUND(G38/$F$65*1000,3),"  ")</f>
        <v xml:space="preserve">  </v>
      </c>
    </row>
    <row r="39" spans="1:8" hidden="1">
      <c r="A39" s="126" t="str">
        <f>IF((inputPrYr!$B39&gt;" "),(inputPrYr!$B39),"  ")</f>
        <v xml:space="preserve">  </v>
      </c>
      <c r="B39" s="126" t="str">
        <f>IF('levy page20'!$C$33&lt;&gt;0,'levy page20'!$C$33,"  ")</f>
        <v xml:space="preserve">  </v>
      </c>
      <c r="C39" s="387" t="str">
        <f>IF(inputPrYr!D113&lt;&gt;0,inputPrYr!D113,"  ")</f>
        <v xml:space="preserve">  </v>
      </c>
      <c r="D39" s="126" t="str">
        <f>IF('levy page20'!$D$33&lt;&gt;0,'levy page20'!$D$33,"  ")</f>
        <v xml:space="preserve">  </v>
      </c>
      <c r="E39" s="387" t="str">
        <f>IF(inputPrYr!F39&lt;&gt;0,inputPrYr!F39,"  ")</f>
        <v xml:space="preserve">  </v>
      </c>
      <c r="F39" s="126" t="str">
        <f>IF('levy page20'!$E$33&lt;&gt;0,'levy page20'!$E$33,"  ")</f>
        <v xml:space="preserve">  </v>
      </c>
      <c r="G39" s="126" t="str">
        <f>IF('levy page20'!$E$40&lt;&gt;0,'levy page20'!$E$40,"  ")</f>
        <v xml:space="preserve">  </v>
      </c>
      <c r="H39" s="387" t="str">
        <f>IF('levy page20'!$E$40&lt;&gt;0,ROUND(G39/$F$65*1000,3),"  ")</f>
        <v xml:space="preserve">  </v>
      </c>
    </row>
    <row r="40" spans="1:8">
      <c r="A40" s="126" t="str">
        <f>IF((inputPrYr!$B40&gt;" "),(inputPrYr!$B40),"  ")</f>
        <v xml:space="preserve">  </v>
      </c>
      <c r="B40" s="126" t="str">
        <f>IF('levy page20'!$C$73&lt;&gt;0,'levy page20'!$C$73,"  ")</f>
        <v xml:space="preserve">  </v>
      </c>
      <c r="C40" s="387" t="str">
        <f>IF(inputPrYr!D114&lt;&gt;0,inputPrYr!D114,"  ")</f>
        <v xml:space="preserve">  </v>
      </c>
      <c r="D40" s="126" t="str">
        <f>IF('levy page20'!$D$73&lt;&gt;0,'levy page20'!$D$73,"  ")</f>
        <v xml:space="preserve">  </v>
      </c>
      <c r="E40" s="387" t="str">
        <f>IF(inputPrYr!F40&lt;&gt;0,inputPrYr!F40,"  ")</f>
        <v xml:space="preserve">  </v>
      </c>
      <c r="F40" s="126" t="str">
        <f>IF('levy page20'!$E$73&lt;&gt;0,'levy page20'!$E$73,"  ")</f>
        <v xml:space="preserve">  </v>
      </c>
      <c r="G40" s="126" t="str">
        <f>IF('levy page20'!$E$80&lt;&gt;0,'levy page20'!$E$80,"  ")</f>
        <v xml:space="preserve">  </v>
      </c>
      <c r="H40" s="387" t="str">
        <f>IF('levy page20'!$E$80&lt;&gt;0,ROUND(G40/$F$65*1000,3),"  ")</f>
        <v xml:space="preserve">  </v>
      </c>
    </row>
    <row r="41" spans="1:8">
      <c r="A41" s="190" t="str">
        <f>IF((inputPrYr!$B43&gt;" "),(inputPrYr!$B43),"  ")</f>
        <v>Community Corrections (12)</v>
      </c>
      <c r="B41" s="126">
        <f>IF('no levy page21'!$C$29&lt;&gt;0,'no levy page21'!$C$29,"  ")</f>
        <v>416017</v>
      </c>
      <c r="C41" s="107"/>
      <c r="D41" s="126">
        <f>IF('no levy page21'!$D$29&lt;&gt;0,'no levy page21'!$D$29,"  ")</f>
        <v>368654</v>
      </c>
      <c r="E41" s="107"/>
      <c r="F41" s="126">
        <f>IF('no levy page21'!$E$29&lt;&gt;0,'no levy page21'!$E$29,"  ")</f>
        <v>351495</v>
      </c>
      <c r="G41" s="126"/>
      <c r="H41" s="103"/>
    </row>
    <row r="42" spans="1:8">
      <c r="A42" s="190" t="str">
        <f>IF((inputPrYr!$B44&gt;" "),(inputPrYr!$B44),"  ")</f>
        <v>Cert Grant (13)</v>
      </c>
      <c r="B42" s="126">
        <f>IF('no levy page21'!$C$60&lt;&gt;0,'no levy page21'!$C$60,"  ")</f>
        <v>1519</v>
      </c>
      <c r="C42" s="107"/>
      <c r="D42" s="126">
        <f>IF('no levy page21'!$D$60&lt;&gt;0,'no levy page21'!$D$60,"  ")</f>
        <v>139</v>
      </c>
      <c r="E42" s="107"/>
      <c r="F42" s="126">
        <f>IF('no levy page21'!$E$60&lt;&gt;0,'no levy page21'!$E$60,"  ")</f>
        <v>3029</v>
      </c>
      <c r="G42" s="126"/>
      <c r="H42" s="103"/>
    </row>
    <row r="43" spans="1:8">
      <c r="A43" s="190" t="str">
        <f>IF((inputPrYr!$B45&gt;" "),(inputPrYr!$B45),"  ")</f>
        <v>Court Trustee (14)</v>
      </c>
      <c r="B43" s="126">
        <f>IF('Com Corr-Cert Gr'!$C$29&lt;&gt;0,'Com Corr-Cert Gr'!$C$29,"  ")</f>
        <v>81109</v>
      </c>
      <c r="C43" s="107"/>
      <c r="D43" s="126">
        <f>IF('Com Corr-Cert Gr'!$D$29&lt;&gt;0,'Com Corr-Cert Gr'!$D$29,"  ")</f>
        <v>79268</v>
      </c>
      <c r="E43" s="107"/>
      <c r="F43" s="126">
        <f>IF('Com Corr-Cert Gr'!$E$29&lt;&gt;0,'Com Corr-Cert Gr'!$E$29,"  ")</f>
        <v>62578</v>
      </c>
      <c r="G43" s="126"/>
      <c r="H43" s="103"/>
    </row>
    <row r="44" spans="1:8">
      <c r="A44" s="731" t="str">
        <f>IF((inputPrYr!$B46&gt;" "),(inputPrYr!$B46),"  ")</f>
        <v>JV Community Initiative Grant (15)</v>
      </c>
      <c r="B44" s="126">
        <f>IF('Com Corr-Cert Gr'!$C$60&lt;&gt;0,'Com Corr-Cert Gr'!$C$60,"  ")</f>
        <v>441034</v>
      </c>
      <c r="C44" s="107"/>
      <c r="D44" s="126">
        <f>IF('Com Corr-Cert Gr'!$D$60&lt;&gt;0,'Com Corr-Cert Gr'!$D$60,"  ")</f>
        <v>398099</v>
      </c>
      <c r="E44" s="107"/>
      <c r="F44" s="126">
        <f>IF('Com Corr-Cert Gr'!$E$60&lt;&gt;0,'Com Corr-Cert Gr'!$E$60,"  ")</f>
        <v>398569</v>
      </c>
      <c r="G44" s="126"/>
      <c r="H44" s="103"/>
    </row>
    <row r="45" spans="1:8">
      <c r="A45" s="190" t="str">
        <f>IF((inputPrYr!$B47&gt;" "),(inputPrYr!$B47),"  ")</f>
        <v>Surveillance Program (16)</v>
      </c>
      <c r="B45" s="126">
        <f>IF('Surv -Citiz Rev'!$C$29&lt;&gt;0,'Surv -Citiz Rev'!$C$29,"  ")</f>
        <v>18634</v>
      </c>
      <c r="C45" s="107"/>
      <c r="D45" s="126">
        <f>IF('Surv -Citiz Rev'!$D$29&lt;&gt;0,'Surv -Citiz Rev'!$D$29,"  ")</f>
        <v>22000</v>
      </c>
      <c r="E45" s="107"/>
      <c r="F45" s="126">
        <f>IF('Surv -Citiz Rev'!$E$29&lt;&gt;0,'Surv -Citiz Rev'!$E$29,"  ")</f>
        <v>24000</v>
      </c>
      <c r="G45" s="126"/>
      <c r="H45" s="103"/>
    </row>
    <row r="46" spans="1:8">
      <c r="A46" s="190" t="str">
        <f>IF((inputPrYr!$B48&gt;" "),(inputPrYr!$B48),"  ")</f>
        <v>Citizen Review Board (18)</v>
      </c>
      <c r="B46" s="126">
        <f>IF('Surv -Citiz Rev'!$C$60&lt;&gt;0,'Surv -Citiz Rev'!$C$60,"  ")</f>
        <v>10510</v>
      </c>
      <c r="C46" s="107"/>
      <c r="D46" s="126">
        <f>IF('Surv -Citiz Rev'!$D$60&lt;&gt;0,'Surv -Citiz Rev'!$D$60,"  ")</f>
        <v>11785</v>
      </c>
      <c r="E46" s="107"/>
      <c r="F46" s="126">
        <f>IF('Surv -Citiz Rev'!$E$60&lt;&gt;0,'Surv -Citiz Rev'!$E$60,"  ")</f>
        <v>16500</v>
      </c>
      <c r="G46" s="126"/>
      <c r="H46" s="103"/>
    </row>
    <row r="47" spans="1:8">
      <c r="A47" s="190" t="str">
        <f>IF((inputPrYr!$B49&gt;" "),(inputPrYr!$B49),"  ")</f>
        <v>911 Service Fund (19)</v>
      </c>
      <c r="B47" s="126">
        <f>IF('911-Reg Deeds'!$C$29&lt;&gt;0,'911-Reg Deeds'!$C$29,"  ")</f>
        <v>19689</v>
      </c>
      <c r="C47" s="107"/>
      <c r="D47" s="126">
        <f>IF('911-Reg Deeds'!$D$29&lt;&gt;0,'911-Reg Deeds'!$D$29,"  ")</f>
        <v>26000</v>
      </c>
      <c r="E47" s="107"/>
      <c r="F47" s="126">
        <f>IF('911-Reg Deeds'!$E$29&lt;&gt;0,'911-Reg Deeds'!$E$29,"  ")</f>
        <v>26200</v>
      </c>
      <c r="G47" s="126"/>
      <c r="H47" s="103"/>
    </row>
    <row r="48" spans="1:8">
      <c r="A48" s="729" t="str">
        <f>IF((inputPrYr!$B50&gt;" "),(inputPrYr!$B50),"  ")</f>
        <v>Register of Deeds Technology (36)</v>
      </c>
      <c r="B48" s="126">
        <f>IF('911-Reg Deeds'!$C$60&lt;&gt;0,'911-Reg Deeds'!$C$60,"  ")</f>
        <v>50909</v>
      </c>
      <c r="C48" s="107"/>
      <c r="D48" s="126">
        <f>IF('911-Reg Deeds'!$D$60&lt;&gt;0,'911-Reg Deeds'!$D$60,"  ")</f>
        <v>37809</v>
      </c>
      <c r="E48" s="107"/>
      <c r="F48" s="126">
        <f>IF('911-Reg Deeds'!$E$60&lt;&gt;0,'911-Reg Deeds'!$E$60,"  ")</f>
        <v>50000</v>
      </c>
      <c r="G48" s="126"/>
      <c r="H48" s="103"/>
    </row>
    <row r="49" spans="1:13">
      <c r="A49" s="729" t="str">
        <f>IF((inputPrYr!$B51&gt;" "),(inputPrYr!$B51),"  ")</f>
        <v>County Auto-Vehicle Dept (37)</v>
      </c>
      <c r="B49" s="126">
        <f>IF('Co Auto-Prosec Tr'!$C$29&lt;&gt;0,'Co Auto-Prosec Tr'!$C$29,"  ")</f>
        <v>257177</v>
      </c>
      <c r="C49" s="107"/>
      <c r="D49" s="126">
        <f>IF('Co Auto-Prosec Tr'!$D$29&lt;&gt;0,'Co Auto-Prosec Tr'!$D$29,"  ")</f>
        <v>248500</v>
      </c>
      <c r="E49" s="107"/>
      <c r="F49" s="126">
        <f>IF('Co Auto-Prosec Tr'!$E$29&lt;&gt;0,'Co Auto-Prosec Tr'!$E$29,"  ")</f>
        <v>237338</v>
      </c>
      <c r="G49" s="126"/>
      <c r="H49" s="103"/>
    </row>
    <row r="50" spans="1:13">
      <c r="A50" s="190" t="str">
        <f>IF((inputPrYr!$B52&gt;" "),(inputPrYr!$B52),"  ")</f>
        <v>Prosecutor Training (38)</v>
      </c>
      <c r="B50" s="126">
        <f>IF('Co Auto-Prosec Tr'!$C$60&lt;&gt;0,'Co Auto-Prosec Tr'!$C$60,"  ")</f>
        <v>5228</v>
      </c>
      <c r="C50" s="107"/>
      <c r="D50" s="126">
        <f>IF('Co Auto-Prosec Tr'!$D$60&lt;&gt;0,'Co Auto-Prosec Tr'!$D$60,"  ")</f>
        <v>6000</v>
      </c>
      <c r="E50" s="107"/>
      <c r="F50" s="126">
        <f>IF('Co Auto-Prosec Tr'!$E$60&lt;&gt;0,'Co Auto-Prosec Tr'!$E$60,"  ")</f>
        <v>6000</v>
      </c>
      <c r="G50" s="126"/>
      <c r="H50" s="103"/>
      <c r="J50" s="817" t="str">
        <f>CONCATENATE("Estimated Value Of One Mill For ",H1,"")</f>
        <v>Estimated Value Of One Mill For 2014</v>
      </c>
      <c r="K50" s="824"/>
      <c r="L50" s="824"/>
      <c r="M50" s="825"/>
    </row>
    <row r="51" spans="1:13">
      <c r="A51" s="729" t="str">
        <f>IF((inputPrYr!$B53&gt;" "),(inputPrYr!$B53),"  ")</f>
        <v>Courthouse Bond &amp; Interest (44)</v>
      </c>
      <c r="B51" s="126" t="str">
        <f>IF('Ct B&amp;I - Sales Tax Rev'!$C$30&lt;&gt;0,'Ct B&amp;I - Sales Tax Rev'!$C$30,"  ")</f>
        <v xml:space="preserve">  </v>
      </c>
      <c r="C51" s="107"/>
      <c r="D51" s="126" t="str">
        <f>IF('Ct B&amp;I - Sales Tax Rev'!$D$30&lt;&gt;0,'Ct B&amp;I - Sales Tax Rev'!$D$30,"  ")</f>
        <v xml:space="preserve">  </v>
      </c>
      <c r="E51" s="107"/>
      <c r="F51" s="126" t="str">
        <f>IF('Ct B&amp;I - Sales Tax Rev'!$E$30&lt;&gt;0,'Ct B&amp;I - Sales Tax Rev'!$E$30,"  ")</f>
        <v xml:space="preserve">  </v>
      </c>
      <c r="G51" s="126"/>
      <c r="H51" s="103"/>
      <c r="J51" s="518"/>
      <c r="K51" s="519"/>
      <c r="L51" s="519"/>
      <c r="M51" s="520"/>
    </row>
    <row r="52" spans="1:13">
      <c r="A52" s="190" t="str">
        <f>IF((inputPrYr!$B54&gt;" "),(inputPrYr!$B54),"  ")</f>
        <v>Sales Tax Revenue (46)</v>
      </c>
      <c r="B52" s="126" t="str">
        <f>IF('Ct B&amp;I - Sales Tax Rev'!$C$61&lt;&gt;0,'Ct B&amp;I - Sales Tax Rev'!$C$61,"  ")</f>
        <v xml:space="preserve">  </v>
      </c>
      <c r="C52" s="107"/>
      <c r="D52" s="126" t="str">
        <f>IF('Ct B&amp;I - Sales Tax Rev'!$D$61&lt;&gt;0,'Ct B&amp;I - Sales Tax Rev'!$D$61,"  ")</f>
        <v xml:space="preserve">  </v>
      </c>
      <c r="E52" s="107"/>
      <c r="F52" s="126" t="str">
        <f>IF('Ct B&amp;I - Sales Tax Rev'!$E$61&lt;&gt;0,'Ct B&amp;I - Sales Tax Rev'!$E$61,"  ")</f>
        <v xml:space="preserve">  </v>
      </c>
      <c r="G52" s="126"/>
      <c r="H52" s="103"/>
      <c r="J52" s="521" t="s">
        <v>690</v>
      </c>
      <c r="K52" s="522"/>
      <c r="L52" s="522"/>
      <c r="M52" s="523">
        <f>ROUND(F65/1000,0)</f>
        <v>269025</v>
      </c>
    </row>
    <row r="53" spans="1:13">
      <c r="A53" s="190" t="str">
        <f>IF((inputPrYr!$B55&gt;" "),(inputPrYr!$B55),"  ")</f>
        <v>New Courthouse (47)</v>
      </c>
      <c r="B53" s="126" t="str">
        <f>IF('New Ct - Ct Sales tax Surp'!$C$29&lt;&gt;0,'New Ct - Ct Sales tax Surp'!$C$29,"  ")</f>
        <v xml:space="preserve">  </v>
      </c>
      <c r="C53" s="107"/>
      <c r="D53" s="126" t="str">
        <f>IF('New Ct - Ct Sales tax Surp'!$D$29&lt;&gt;0,'New Ct - Ct Sales tax Surp'!$D$29,"  ")</f>
        <v xml:space="preserve">  </v>
      </c>
      <c r="E53" s="107"/>
      <c r="F53" s="126" t="str">
        <f>IF('New Ct - Ct Sales tax Surp'!$E$29&lt;&gt;0,'New Ct - Ct Sales tax Surp'!$E$29,"  ")</f>
        <v xml:space="preserve">  </v>
      </c>
      <c r="G53" s="126"/>
      <c r="H53" s="103"/>
    </row>
    <row r="54" spans="1:13">
      <c r="A54" s="729" t="str">
        <f>IF((inputPrYr!$B56&gt;" "),(inputPrYr!$B56),"  ")</f>
        <v>Courthouse Sales Tax Surplus (52)</v>
      </c>
      <c r="B54" s="126">
        <f>IF('New Ct - Ct Sales tax Surp'!$C$60&lt;&gt;0,'New Ct - Ct Sales tax Surp'!$C$60,"  ")</f>
        <v>2244545</v>
      </c>
      <c r="C54" s="107"/>
      <c r="D54" s="126" t="str">
        <f>IF('New Ct - Ct Sales tax Surp'!$D$60&lt;&gt;0,'New Ct - Ct Sales tax Surp'!$D$60,"  ")</f>
        <v xml:space="preserve">  </v>
      </c>
      <c r="E54" s="107"/>
      <c r="F54" s="126" t="str">
        <f>IF('New Ct - Ct Sales tax Surp'!$E$60&lt;&gt;0,'New Ct - Ct Sales tax Surp'!$E$60,"  ")</f>
        <v xml:space="preserve">  </v>
      </c>
      <c r="G54" s="126"/>
      <c r="H54" s="103"/>
      <c r="J54" s="817" t="str">
        <f>CONCATENATE("Want The Mill Rate The Same As For ",H1-1,"?")</f>
        <v>Want The Mill Rate The Same As For 2013?</v>
      </c>
      <c r="K54" s="824"/>
      <c r="L54" s="824"/>
      <c r="M54" s="825"/>
    </row>
    <row r="55" spans="1:13">
      <c r="A55" s="190" t="str">
        <f>IF((inputPrYr!$B57&gt;" "),(inputPrYr!$B57),"  ")</f>
        <v>Special Alcohol Fund (54)</v>
      </c>
      <c r="B55" s="126" t="str">
        <f>IF('Spec Alch - Spec Parks'!$C$29&lt;&gt;0,'Spec Alch - Spec Parks'!$C$29,"  ")</f>
        <v xml:space="preserve">  </v>
      </c>
      <c r="C55" s="107"/>
      <c r="D55" s="126" t="str">
        <f>IF('Spec Alch - Spec Parks'!$D$29&lt;&gt;0,'Spec Alch - Spec Parks'!$D$29,"  ")</f>
        <v xml:space="preserve">  </v>
      </c>
      <c r="E55" s="107"/>
      <c r="F55" s="126">
        <f>IF('Spec Alch - Spec Parks'!$E$29&lt;&gt;0,'Spec Alch - Spec Parks'!$E$29,"  ")</f>
        <v>15000</v>
      </c>
      <c r="G55" s="126"/>
      <c r="H55" s="103"/>
      <c r="J55" s="525"/>
      <c r="K55" s="519"/>
      <c r="L55" s="519"/>
      <c r="M55" s="526"/>
    </row>
    <row r="56" spans="1:13">
      <c r="A56" s="190" t="str">
        <f>IF((inputPrYr!$B58&gt;" "),(inputPrYr!$B58),"  ")</f>
        <v>Special Parks &amp; Rec (55)</v>
      </c>
      <c r="B56" s="126" t="str">
        <f>IF('Spec Alch - Spec Parks'!$C$60&lt;&gt;0,'Spec Alch - Spec Parks'!$C$60,"  ")</f>
        <v xml:space="preserve">  </v>
      </c>
      <c r="C56" s="107"/>
      <c r="D56" s="126" t="str">
        <f>IF('Spec Alch - Spec Parks'!$D$60&lt;&gt;0,'Spec Alch - Spec Parks'!$D$60,"  ")</f>
        <v xml:space="preserve">  </v>
      </c>
      <c r="E56" s="107"/>
      <c r="F56" s="126">
        <f>IF('Spec Alch - Spec Parks'!$E$60&lt;&gt;0,'Spec Alch - Spec Parks'!$E$60,"  ")</f>
        <v>4533</v>
      </c>
      <c r="G56" s="126"/>
      <c r="H56" s="103"/>
      <c r="J56" s="525" t="str">
        <f>CONCATENATE("",H1-1," Mill Rate Was:")</f>
        <v>2013 Mill Rate Was:</v>
      </c>
      <c r="K56" s="519"/>
      <c r="L56" s="519"/>
      <c r="M56" s="527">
        <f>E61</f>
        <v>63.972000000000008</v>
      </c>
    </row>
    <row r="57" spans="1:13">
      <c r="A57" s="190" t="str">
        <f>IF((inputPrYr!$B62&gt;"  "),(nonbudA!$A3),"  ")</f>
        <v>Non-Budgeted Funds-A</v>
      </c>
      <c r="B57" s="126">
        <f>IF(nonbudA!$K$28&lt;&gt;0,nonbudA!$K$28,"  ")</f>
        <v>7288</v>
      </c>
      <c r="C57" s="107"/>
      <c r="D57" s="126"/>
      <c r="E57" s="107"/>
      <c r="F57" s="126"/>
      <c r="G57" s="126"/>
      <c r="H57" s="103"/>
      <c r="J57" s="528" t="str">
        <f>CONCATENATE("",H1," Tax Levy Fund Expenditures Must Be")</f>
        <v>2014 Tax Levy Fund Expenditures Must Be</v>
      </c>
      <c r="K57" s="529"/>
      <c r="L57" s="529"/>
      <c r="M57" s="526"/>
    </row>
    <row r="58" spans="1:13">
      <c r="A58" s="190" t="str">
        <f>IF((inputPrYr!$B68&gt;"  "),(nonbudB!$A3),"  ")</f>
        <v>Non-Budgeted Funds-B</v>
      </c>
      <c r="B58" s="126">
        <f>IF(nonbudB!$K$28&lt;&gt;0,nonbudB!$K$28,"  ")</f>
        <v>123887</v>
      </c>
      <c r="C58" s="107"/>
      <c r="D58" s="126"/>
      <c r="E58" s="107"/>
      <c r="F58" s="126"/>
      <c r="G58" s="126"/>
      <c r="H58" s="103"/>
      <c r="J58" s="528" t="str">
        <f>IF(M58&gt;0,"Increased By:","")</f>
        <v>Increased By:</v>
      </c>
      <c r="K58" s="529"/>
      <c r="L58" s="529"/>
      <c r="M58" s="616">
        <f>IF(M65&lt;0,M65*-1,0)</f>
        <v>2006849.5491999984</v>
      </c>
    </row>
    <row r="59" spans="1:13">
      <c r="A59" s="190" t="str">
        <f>IF((inputPrYr!$B74&gt;"  "),(nonbudC!$A3),"  ")</f>
        <v xml:space="preserve">  </v>
      </c>
      <c r="B59" s="126" t="str">
        <f>IF(nonbudC!$K$28&lt;&gt;0,nonbudC!$K$28,"  ")</f>
        <v xml:space="preserve">  </v>
      </c>
      <c r="C59" s="107"/>
      <c r="D59" s="126"/>
      <c r="E59" s="107"/>
      <c r="F59" s="126"/>
      <c r="G59" s="126"/>
      <c r="H59" s="103"/>
      <c r="J59" s="617" t="str">
        <f>IF(M59&lt;0,"Reduced By:","")</f>
        <v/>
      </c>
      <c r="K59" s="618"/>
      <c r="L59" s="618"/>
      <c r="M59" s="619">
        <f>IF(M65&gt;0,M65*-1,0)</f>
        <v>0</v>
      </c>
    </row>
    <row r="60" spans="1:13" ht="16.5" thickBot="1">
      <c r="A60" s="190" t="str">
        <f>IF((inputPrYr!$B80&gt;"  "),(nonbudD!$A3),"  ")</f>
        <v xml:space="preserve">  </v>
      </c>
      <c r="B60" s="507" t="str">
        <f>IF(nonbudD!$K$28&lt;&gt;0,nonbudD!$K$28,"  ")</f>
        <v xml:space="preserve">  </v>
      </c>
      <c r="C60" s="506"/>
      <c r="D60" s="507"/>
      <c r="E60" s="506"/>
      <c r="F60" s="507"/>
      <c r="G60" s="507"/>
      <c r="H60" s="505"/>
      <c r="J60" s="532"/>
      <c r="K60" s="532"/>
      <c r="L60" s="532"/>
      <c r="M60" s="532"/>
    </row>
    <row r="61" spans="1:13">
      <c r="A61" s="102" t="s">
        <v>158</v>
      </c>
      <c r="B61" s="510">
        <f>SUM(B16:B60)</f>
        <v>23941508.899999999</v>
      </c>
      <c r="C61" s="508">
        <f>SUM(C16:C40)</f>
        <v>57.304000000000002</v>
      </c>
      <c r="D61" s="510">
        <f>SUM(D16:D60)</f>
        <v>22613171</v>
      </c>
      <c r="E61" s="508">
        <f>SUM(E16:E40)</f>
        <v>63.972000000000008</v>
      </c>
      <c r="F61" s="510">
        <f>SUM(F16:F60)</f>
        <v>25009837</v>
      </c>
      <c r="G61" s="510">
        <f>SUM(G16:G40)</f>
        <v>15203232.450800002</v>
      </c>
      <c r="H61" s="735">
        <f>SUM(H16:H40)</f>
        <v>56.5124</v>
      </c>
      <c r="I61" s="743"/>
      <c r="J61" s="817" t="str">
        <f>CONCATENATE("Impact On Keeping The Same Mill Rate As For ",H1-1,"")</f>
        <v>Impact On Keeping The Same Mill Rate As For 2013</v>
      </c>
      <c r="K61" s="818"/>
      <c r="L61" s="818"/>
      <c r="M61" s="819"/>
    </row>
    <row r="62" spans="1:13">
      <c r="A62" s="83" t="s">
        <v>194</v>
      </c>
      <c r="B62" s="388">
        <f>transfers!C29</f>
        <v>455613</v>
      </c>
      <c r="C62" s="389"/>
      <c r="D62" s="388">
        <f>transfers!D29</f>
        <v>74000</v>
      </c>
      <c r="E62" s="331"/>
      <c r="F62" s="388">
        <f>transfers!E29</f>
        <v>90004</v>
      </c>
      <c r="G62" s="84"/>
      <c r="H62" s="124"/>
      <c r="I62" s="743"/>
      <c r="J62" s="525"/>
      <c r="K62" s="519"/>
      <c r="L62" s="519"/>
      <c r="M62" s="526"/>
    </row>
    <row r="63" spans="1:13" ht="16.5" thickBot="1">
      <c r="A63" s="83" t="s">
        <v>195</v>
      </c>
      <c r="B63" s="391">
        <f>B61-B62</f>
        <v>23485895.899999999</v>
      </c>
      <c r="C63" s="84"/>
      <c r="D63" s="391">
        <f>D61-D62</f>
        <v>22539171</v>
      </c>
      <c r="E63" s="389"/>
      <c r="F63" s="391">
        <f>F61-F62</f>
        <v>24919833</v>
      </c>
      <c r="G63" s="84"/>
      <c r="H63" s="124"/>
      <c r="J63" s="525" t="str">
        <f>CONCATENATE("",H1," Ad Valorem Tax Revenue:")</f>
        <v>2014 Ad Valorem Tax Revenue:</v>
      </c>
      <c r="K63" s="519"/>
      <c r="L63" s="519"/>
      <c r="M63" s="520">
        <f>G61</f>
        <v>15203232.450800002</v>
      </c>
    </row>
    <row r="64" spans="1:13" ht="16.5" thickTop="1">
      <c r="A64" s="83" t="s">
        <v>196</v>
      </c>
      <c r="B64" s="510">
        <f>inputPrYr!F117</f>
        <v>13095681</v>
      </c>
      <c r="C64" s="84"/>
      <c r="D64" s="510">
        <f>inputPrYr!E41</f>
        <v>15035000</v>
      </c>
      <c r="E64" s="84"/>
      <c r="F64" s="509" t="s">
        <v>68</v>
      </c>
      <c r="G64" s="84"/>
      <c r="H64" s="124"/>
      <c r="J64" s="525" t="str">
        <f>CONCATENATE("",H1-1," Ad Valorem Tax Revenue:")</f>
        <v>2013 Ad Valorem Tax Revenue:</v>
      </c>
      <c r="K64" s="519"/>
      <c r="L64" s="519"/>
      <c r="M64" s="533">
        <f>ROUND(F65*M56/1000,0)</f>
        <v>17210082</v>
      </c>
    </row>
    <row r="65" spans="1:13">
      <c r="A65" s="83" t="s">
        <v>197</v>
      </c>
      <c r="B65" s="126">
        <f>inputPrYr!F118</f>
        <v>228536350</v>
      </c>
      <c r="C65" s="84"/>
      <c r="D65" s="126">
        <f>inputPrYr!F85</f>
        <v>235227407</v>
      </c>
      <c r="E65" s="84"/>
      <c r="F65" s="126">
        <f>inputOth!E6</f>
        <v>269025233</v>
      </c>
      <c r="G65" s="84"/>
      <c r="H65" s="124"/>
      <c r="J65" s="530" t="s">
        <v>691</v>
      </c>
      <c r="K65" s="531"/>
      <c r="L65" s="531"/>
      <c r="M65" s="523">
        <f>SUM(M63-M64)</f>
        <v>-2006849.5491999984</v>
      </c>
    </row>
    <row r="66" spans="1:13">
      <c r="A66" s="84"/>
      <c r="B66" s="84"/>
      <c r="C66" s="84"/>
      <c r="D66" s="84"/>
      <c r="E66" s="84"/>
      <c r="F66" s="84"/>
      <c r="G66" s="84"/>
      <c r="H66" s="124"/>
      <c r="J66" s="524"/>
      <c r="K66" s="524"/>
      <c r="L66" s="524"/>
      <c r="M66" s="532"/>
    </row>
    <row r="67" spans="1:13">
      <c r="A67" s="83" t="s">
        <v>198</v>
      </c>
      <c r="B67" s="84"/>
      <c r="C67" s="84"/>
      <c r="D67" s="84"/>
      <c r="E67" s="84"/>
      <c r="F67" s="84"/>
      <c r="G67" s="84"/>
      <c r="H67" s="136"/>
      <c r="J67" s="817" t="s">
        <v>692</v>
      </c>
      <c r="K67" s="820"/>
      <c r="L67" s="820"/>
      <c r="M67" s="821"/>
    </row>
    <row r="68" spans="1:13">
      <c r="A68" s="83" t="s">
        <v>199</v>
      </c>
      <c r="B68" s="390">
        <f>H1-3</f>
        <v>2011</v>
      </c>
      <c r="C68" s="84"/>
      <c r="D68" s="390">
        <f>H1-2</f>
        <v>2012</v>
      </c>
      <c r="E68" s="84"/>
      <c r="F68" s="390">
        <f>H1-1</f>
        <v>2013</v>
      </c>
      <c r="G68" s="84"/>
      <c r="H68" s="136"/>
      <c r="J68" s="525"/>
      <c r="K68" s="519"/>
      <c r="L68" s="519"/>
      <c r="M68" s="526"/>
    </row>
    <row r="69" spans="1:13">
      <c r="A69" s="83" t="s">
        <v>200</v>
      </c>
      <c r="B69" s="126">
        <f>inputPrYr!D122</f>
        <v>0</v>
      </c>
      <c r="C69" s="84"/>
      <c r="D69" s="126">
        <f>inputPrYr!E122</f>
        <v>0</v>
      </c>
      <c r="E69" s="84"/>
      <c r="F69" s="126">
        <f>debt!G19</f>
        <v>0</v>
      </c>
      <c r="G69" s="84"/>
      <c r="H69" s="136"/>
      <c r="J69" s="525" t="str">
        <f>CONCATENATE("Current ",H1," Estimated Mill Rate:")</f>
        <v>Current 2014 Estimated Mill Rate:</v>
      </c>
      <c r="K69" s="519"/>
      <c r="L69" s="519"/>
      <c r="M69" s="527">
        <f>H61</f>
        <v>56.5124</v>
      </c>
    </row>
    <row r="70" spans="1:13">
      <c r="A70" s="83" t="s">
        <v>201</v>
      </c>
      <c r="B70" s="126">
        <f>inputPrYr!D123</f>
        <v>3500000</v>
      </c>
      <c r="C70" s="84"/>
      <c r="D70" s="126">
        <f>inputPrYr!E123</f>
        <v>0</v>
      </c>
      <c r="E70" s="84"/>
      <c r="F70" s="126">
        <f>debt!G27</f>
        <v>0</v>
      </c>
      <c r="G70" s="84"/>
      <c r="H70" s="136"/>
      <c r="J70" s="525" t="str">
        <f>CONCATENATE("Desired ",H1," Mill Rate:")</f>
        <v>Desired 2014 Mill Rate:</v>
      </c>
      <c r="K70" s="519"/>
      <c r="L70" s="519"/>
      <c r="M70" s="534">
        <v>57</v>
      </c>
    </row>
    <row r="71" spans="1:13">
      <c r="A71" s="83" t="s">
        <v>187</v>
      </c>
      <c r="B71" s="126">
        <f>inputPrYr!D124</f>
        <v>0</v>
      </c>
      <c r="C71" s="84"/>
      <c r="D71" s="126">
        <f>inputPrYr!E124</f>
        <v>0</v>
      </c>
      <c r="E71" s="84"/>
      <c r="F71" s="126">
        <f>debt!G36</f>
        <v>0</v>
      </c>
      <c r="G71" s="84"/>
      <c r="H71" s="136"/>
      <c r="J71" s="525" t="str">
        <f>CONCATENATE("",H1," Ad Valorem Tax:")</f>
        <v>2014 Ad Valorem Tax:</v>
      </c>
      <c r="K71" s="519"/>
      <c r="L71" s="519"/>
      <c r="M71" s="533">
        <f>ROUND(F65*M70/1000,0)</f>
        <v>15334438</v>
      </c>
    </row>
    <row r="72" spans="1:13">
      <c r="A72" s="83" t="s">
        <v>287</v>
      </c>
      <c r="B72" s="126">
        <f>inputPrYr!D125</f>
        <v>13087</v>
      </c>
      <c r="C72" s="84"/>
      <c r="D72" s="126">
        <f>inputPrYr!E125</f>
        <v>0</v>
      </c>
      <c r="E72" s="84"/>
      <c r="F72" s="126">
        <f>lpform!G37</f>
        <v>0</v>
      </c>
      <c r="G72" s="84"/>
      <c r="H72" s="136"/>
      <c r="J72" s="530" t="str">
        <f>CONCATENATE("",H1," Tax Levy Fund Exp. Changed By:")</f>
        <v>2014 Tax Levy Fund Exp. Changed By:</v>
      </c>
      <c r="K72" s="531"/>
      <c r="L72" s="531"/>
      <c r="M72" s="523">
        <f>IF(M70=0,0,(M71-G61))</f>
        <v>131205.54919999838</v>
      </c>
    </row>
    <row r="73" spans="1:13" ht="16.5" thickBot="1">
      <c r="A73" s="83" t="s">
        <v>202</v>
      </c>
      <c r="B73" s="535">
        <f>SUM(B69:B72)</f>
        <v>3513087</v>
      </c>
      <c r="C73" s="84"/>
      <c r="D73" s="535">
        <f>SUM(D69:D72)</f>
        <v>0</v>
      </c>
      <c r="E73" s="84"/>
      <c r="F73" s="535">
        <f>SUM(F69:F72)</f>
        <v>0</v>
      </c>
      <c r="G73" s="84"/>
      <c r="H73" s="136"/>
    </row>
    <row r="74" spans="1:13" ht="16.5" thickTop="1">
      <c r="A74" s="83" t="s">
        <v>203</v>
      </c>
      <c r="B74" s="84"/>
      <c r="C74" s="84"/>
      <c r="D74" s="84"/>
      <c r="E74" s="84"/>
      <c r="F74" s="84"/>
      <c r="G74" s="84"/>
      <c r="H74" s="136"/>
    </row>
    <row r="75" spans="1:13">
      <c r="A75" s="84"/>
      <c r="B75" s="84"/>
      <c r="C75" s="84"/>
      <c r="D75" s="84"/>
      <c r="E75" s="84"/>
      <c r="F75" s="84"/>
      <c r="G75" s="84"/>
      <c r="H75" s="136"/>
    </row>
    <row r="76" spans="1:13">
      <c r="A76" s="823" t="s">
        <v>1107</v>
      </c>
      <c r="B76" s="823"/>
      <c r="C76" s="84"/>
      <c r="D76" s="84"/>
      <c r="E76" s="84"/>
      <c r="F76" s="84"/>
      <c r="G76" s="84"/>
      <c r="H76" s="136"/>
    </row>
    <row r="77" spans="1:13">
      <c r="A77" s="210" t="s">
        <v>204</v>
      </c>
      <c r="B77" s="92"/>
      <c r="C77" s="84"/>
      <c r="D77" s="84"/>
      <c r="E77" s="84"/>
      <c r="F77" s="84"/>
      <c r="G77" s="84"/>
      <c r="H77" s="136"/>
    </row>
    <row r="78" spans="1:13">
      <c r="A78" s="84"/>
      <c r="B78" s="84"/>
      <c r="C78" s="84"/>
      <c r="D78" s="285" t="s">
        <v>170</v>
      </c>
      <c r="E78" s="392">
        <v>26</v>
      </c>
      <c r="F78" s="84"/>
      <c r="G78" s="84"/>
      <c r="H78" s="136"/>
    </row>
    <row r="79" spans="1:13">
      <c r="A79" s="142"/>
      <c r="D79" s="142"/>
      <c r="E79" s="142"/>
      <c r="F79" s="142"/>
      <c r="G79" s="142"/>
      <c r="H79" s="142"/>
    </row>
  </sheetData>
  <mergeCells count="14">
    <mergeCell ref="A76:B76"/>
    <mergeCell ref="G14:G15"/>
    <mergeCell ref="J50:M50"/>
    <mergeCell ref="J54:M54"/>
    <mergeCell ref="A11:H11"/>
    <mergeCell ref="A7:H7"/>
    <mergeCell ref="A8:H8"/>
    <mergeCell ref="J61:M61"/>
    <mergeCell ref="J67:M67"/>
    <mergeCell ref="A2:H2"/>
    <mergeCell ref="A4:H4"/>
    <mergeCell ref="A5:H5"/>
    <mergeCell ref="A6:H6"/>
    <mergeCell ref="A10:H10"/>
  </mergeCells>
  <phoneticPr fontId="0" type="noConversion"/>
  <pageMargins left="0.82" right="0.5" top="0.68" bottom="0.34" header="0.44" footer="0"/>
  <pageSetup scale="65" orientation="portrait" blackAndWhite="1" horizontalDpi="120" verticalDpi="144" r:id="rId1"/>
  <headerFooter alignWithMargins="0">
    <oddHeader xml:space="preserve">&amp;RState of Kansas
County
</oddHeader>
  </headerFooter>
</worksheet>
</file>

<file path=xl/worksheets/sheet43.xml><?xml version="1.0" encoding="utf-8"?>
<worksheet xmlns="http://schemas.openxmlformats.org/spreadsheetml/2006/main" xmlns:r="http://schemas.openxmlformats.org/officeDocument/2006/relationships">
  <sheetPr codeName="Sheet33">
    <pageSetUpPr fitToPage="1"/>
  </sheetPr>
  <dimension ref="A1:J57"/>
  <sheetViews>
    <sheetView zoomScale="75" workbookViewId="0">
      <selection sqref="A1:I42"/>
    </sheetView>
  </sheetViews>
  <sheetFormatPr defaultRowHeight="15.75"/>
  <cols>
    <col min="1" max="1" width="21.88671875" style="2" customWidth="1"/>
    <col min="2" max="2" width="12.77734375" style="2" customWidth="1"/>
    <col min="3" max="3" width="10.33203125" style="2" customWidth="1"/>
    <col min="4" max="4" width="12.88671875" style="2" customWidth="1"/>
    <col min="5" max="5" width="10.21875" style="2" customWidth="1"/>
    <col min="6" max="6" width="15" style="2" customWidth="1"/>
    <col min="7" max="7" width="12.77734375" style="2" customWidth="1"/>
    <col min="8" max="8" width="11.88671875" style="2" customWidth="1"/>
    <col min="9" max="9" width="9.77734375" style="2" customWidth="1"/>
    <col min="10" max="16384" width="8.88671875" style="2"/>
  </cols>
  <sheetData>
    <row r="1" spans="1:10">
      <c r="A1" s="26" t="str">
        <f>inputPrYr!C2</f>
        <v>Lyon County</v>
      </c>
      <c r="B1" s="14"/>
      <c r="C1" s="14"/>
      <c r="D1" s="14"/>
      <c r="E1" s="14"/>
      <c r="F1" s="14"/>
      <c r="G1" s="14"/>
      <c r="H1" s="14"/>
      <c r="I1" s="50">
        <f>inputPrYr!C4</f>
        <v>2014</v>
      </c>
    </row>
    <row r="2" spans="1:10">
      <c r="A2" s="14"/>
      <c r="B2" s="14"/>
      <c r="C2" s="14"/>
      <c r="D2" s="14"/>
      <c r="E2" s="14"/>
      <c r="F2" s="14"/>
      <c r="G2" s="14"/>
      <c r="H2" s="14"/>
      <c r="I2" s="13"/>
    </row>
    <row r="3" spans="1:10">
      <c r="A3" s="31" t="s">
        <v>230</v>
      </c>
      <c r="B3" s="17"/>
      <c r="C3" s="17"/>
      <c r="D3" s="17"/>
      <c r="E3" s="17"/>
      <c r="F3" s="17"/>
      <c r="G3" s="17"/>
      <c r="H3" s="17"/>
      <c r="I3" s="30"/>
      <c r="J3" s="3"/>
    </row>
    <row r="4" spans="1:10">
      <c r="A4" s="14"/>
      <c r="B4" s="18"/>
      <c r="C4" s="18"/>
      <c r="D4" s="18"/>
      <c r="E4" s="18"/>
      <c r="F4" s="18"/>
      <c r="G4" s="18"/>
      <c r="H4" s="18"/>
      <c r="I4" s="18"/>
    </row>
    <row r="5" spans="1:10">
      <c r="A5" s="14"/>
      <c r="B5" s="32" t="str">
        <f>CONCATENATE("Prior Year Actual for ",I1-2,"")</f>
        <v>Prior Year Actual for 2012</v>
      </c>
      <c r="C5" s="21"/>
      <c r="D5" s="33" t="str">
        <f>CONCATENATE("Current Year Estimate for ",I1-1,"")</f>
        <v>Current Year Estimate for 2013</v>
      </c>
      <c r="E5" s="21"/>
      <c r="F5" s="19" t="str">
        <f>CONCATENATE("Proposed Budget Year for ",I1,"")</f>
        <v>Proposed Budget Year for 2014</v>
      </c>
      <c r="G5" s="20"/>
      <c r="H5" s="20"/>
      <c r="I5" s="21"/>
    </row>
    <row r="6" spans="1:10" ht="21" customHeight="1">
      <c r="A6" s="15" t="s">
        <v>10</v>
      </c>
      <c r="B6" s="22"/>
      <c r="C6" s="22" t="s">
        <v>190</v>
      </c>
      <c r="D6" s="22"/>
      <c r="E6" s="22" t="s">
        <v>190</v>
      </c>
      <c r="F6" s="512" t="s">
        <v>673</v>
      </c>
      <c r="G6" s="780" t="str">
        <f>CONCATENATE("Amount of ",I1-1,"    Ad Valorem Tax")</f>
        <v>Amount of 2013    Ad Valorem Tax</v>
      </c>
      <c r="H6" s="780" t="str">
        <f>CONCATENATE("July 1, ",I1-1," Estimated Valuation")</f>
        <v>July 1, 2013 Estimated Valuation</v>
      </c>
      <c r="I6" s="22" t="s">
        <v>191</v>
      </c>
    </row>
    <row r="7" spans="1:10">
      <c r="A7" s="23" t="s">
        <v>11</v>
      </c>
      <c r="B7" s="28" t="s">
        <v>141</v>
      </c>
      <c r="C7" s="28" t="s">
        <v>193</v>
      </c>
      <c r="D7" s="28" t="s">
        <v>141</v>
      </c>
      <c r="E7" s="28" t="s">
        <v>193</v>
      </c>
      <c r="F7" s="513" t="s">
        <v>674</v>
      </c>
      <c r="G7" s="781"/>
      <c r="H7" s="781"/>
      <c r="I7" s="28" t="s">
        <v>193</v>
      </c>
    </row>
    <row r="8" spans="1:10">
      <c r="A8" s="9" t="s">
        <v>1057</v>
      </c>
      <c r="B8" s="9">
        <v>116689</v>
      </c>
      <c r="C8" s="11">
        <v>1.325</v>
      </c>
      <c r="D8" s="9">
        <v>122523</v>
      </c>
      <c r="E8" s="11">
        <v>1.1539999999999999</v>
      </c>
      <c r="F8" s="9">
        <v>128523</v>
      </c>
      <c r="G8" s="9">
        <v>93552</v>
      </c>
      <c r="H8" s="9">
        <v>123850545</v>
      </c>
      <c r="I8" s="58">
        <f t="shared" ref="I8:I36" si="0">IF(H8&lt;&gt;0,ROUND(G8/H8*1000,3)," ")</f>
        <v>0.755</v>
      </c>
    </row>
    <row r="9" spans="1:10">
      <c r="A9" s="9" t="s">
        <v>1058</v>
      </c>
      <c r="B9" s="9">
        <v>13780</v>
      </c>
      <c r="C9" s="11">
        <v>0.60199999999999998</v>
      </c>
      <c r="D9" s="9">
        <v>13000</v>
      </c>
      <c r="E9" s="11">
        <v>0.52400000000000002</v>
      </c>
      <c r="F9" s="9">
        <v>12000</v>
      </c>
      <c r="G9" s="9">
        <v>11075</v>
      </c>
      <c r="H9" s="9">
        <v>22052811</v>
      </c>
      <c r="I9" s="58">
        <f t="shared" si="0"/>
        <v>0.502</v>
      </c>
    </row>
    <row r="10" spans="1:10">
      <c r="A10" s="9" t="s">
        <v>1059</v>
      </c>
      <c r="B10" s="9">
        <v>18748</v>
      </c>
      <c r="C10" s="11">
        <v>2.4900000000000002</v>
      </c>
      <c r="D10" s="9">
        <v>28174</v>
      </c>
      <c r="E10" s="11">
        <v>2.25</v>
      </c>
      <c r="F10" s="9">
        <v>195956</v>
      </c>
      <c r="G10" s="9">
        <v>48673</v>
      </c>
      <c r="H10" s="9">
        <v>22052811</v>
      </c>
      <c r="I10" s="58">
        <f t="shared" si="0"/>
        <v>2.2069999999999999</v>
      </c>
    </row>
    <row r="11" spans="1:10">
      <c r="A11" s="9" t="s">
        <v>1104</v>
      </c>
      <c r="B11" s="9">
        <v>51869</v>
      </c>
      <c r="C11" s="11">
        <v>5.7350000000000003</v>
      </c>
      <c r="D11" s="9">
        <v>42561</v>
      </c>
      <c r="E11" s="11">
        <v>5.75</v>
      </c>
      <c r="F11" s="9">
        <v>41625</v>
      </c>
      <c r="G11" s="9">
        <v>35411</v>
      </c>
      <c r="H11" s="9">
        <v>5535375</v>
      </c>
      <c r="I11" s="58">
        <f t="shared" si="0"/>
        <v>6.3970000000000002</v>
      </c>
    </row>
    <row r="12" spans="1:10">
      <c r="A12" s="9" t="s">
        <v>1105</v>
      </c>
      <c r="B12" s="9">
        <v>14005</v>
      </c>
      <c r="C12" s="11">
        <v>3.141</v>
      </c>
      <c r="D12" s="9">
        <v>18660</v>
      </c>
      <c r="E12" s="11">
        <v>3</v>
      </c>
      <c r="F12" s="9">
        <v>19315</v>
      </c>
      <c r="G12" s="9">
        <v>11892</v>
      </c>
      <c r="H12" s="9">
        <v>5535375</v>
      </c>
      <c r="I12" s="58">
        <f t="shared" si="0"/>
        <v>2.1480000000000001</v>
      </c>
    </row>
    <row r="13" spans="1:10">
      <c r="A13" s="9" t="s">
        <v>1060</v>
      </c>
      <c r="B13" s="9">
        <v>23470</v>
      </c>
      <c r="C13" s="11">
        <v>10.491</v>
      </c>
      <c r="D13" s="9">
        <v>40025</v>
      </c>
      <c r="E13" s="11">
        <v>10.115</v>
      </c>
      <c r="F13" s="9">
        <v>66143</v>
      </c>
      <c r="G13" s="9">
        <v>28168</v>
      </c>
      <c r="H13" s="9">
        <v>2862342</v>
      </c>
      <c r="I13" s="58">
        <f t="shared" si="0"/>
        <v>9.8409999999999993</v>
      </c>
    </row>
    <row r="14" spans="1:10">
      <c r="A14" s="9" t="s">
        <v>1061</v>
      </c>
      <c r="B14" s="9">
        <v>125690</v>
      </c>
      <c r="C14" s="11">
        <v>4.2960000000000003</v>
      </c>
      <c r="D14" s="9">
        <v>150700</v>
      </c>
      <c r="E14" s="11">
        <v>4.08</v>
      </c>
      <c r="F14" s="9">
        <v>200150</v>
      </c>
      <c r="G14" s="9">
        <v>132536</v>
      </c>
      <c r="H14" s="9">
        <v>33310254</v>
      </c>
      <c r="I14" s="58">
        <f t="shared" si="0"/>
        <v>3.9790000000000001</v>
      </c>
    </row>
    <row r="15" spans="1:10">
      <c r="A15" s="9" t="s">
        <v>1062</v>
      </c>
      <c r="B15" s="9">
        <v>79425</v>
      </c>
      <c r="C15" s="11">
        <v>7.29</v>
      </c>
      <c r="D15" s="9">
        <v>82840</v>
      </c>
      <c r="E15" s="11">
        <v>6.96</v>
      </c>
      <c r="F15" s="9">
        <v>83777</v>
      </c>
      <c r="G15" s="9">
        <v>71929</v>
      </c>
      <c r="H15" s="9">
        <v>9413997</v>
      </c>
      <c r="I15" s="58">
        <f t="shared" si="0"/>
        <v>7.641</v>
      </c>
    </row>
    <row r="16" spans="1:10">
      <c r="A16" s="9" t="s">
        <v>1106</v>
      </c>
      <c r="B16" s="9">
        <v>5497</v>
      </c>
      <c r="C16" s="11"/>
      <c r="D16" s="9"/>
      <c r="E16" s="11"/>
      <c r="F16" s="9"/>
      <c r="G16" s="9"/>
      <c r="H16" s="9"/>
      <c r="I16" s="58" t="str">
        <f t="shared" si="0"/>
        <v xml:space="preserve"> </v>
      </c>
    </row>
    <row r="17" spans="1:9">
      <c r="A17" s="9"/>
      <c r="B17" s="9"/>
      <c r="C17" s="11"/>
      <c r="D17" s="9"/>
      <c r="E17" s="11"/>
      <c r="F17" s="9"/>
      <c r="G17" s="9"/>
      <c r="H17" s="9"/>
      <c r="I17" s="58" t="str">
        <f t="shared" si="0"/>
        <v xml:space="preserve"> </v>
      </c>
    </row>
    <row r="18" spans="1:9" hidden="1">
      <c r="A18" s="9"/>
      <c r="B18" s="9"/>
      <c r="C18" s="11"/>
      <c r="D18" s="9"/>
      <c r="E18" s="11"/>
      <c r="F18" s="9"/>
      <c r="G18" s="9"/>
      <c r="H18" s="9"/>
      <c r="I18" s="58" t="str">
        <f t="shared" si="0"/>
        <v xml:space="preserve"> </v>
      </c>
    </row>
    <row r="19" spans="1:9" hidden="1">
      <c r="A19" s="9"/>
      <c r="B19" s="9"/>
      <c r="C19" s="11"/>
      <c r="D19" s="9"/>
      <c r="E19" s="11"/>
      <c r="F19" s="9"/>
      <c r="G19" s="9"/>
      <c r="H19" s="9"/>
      <c r="I19" s="58" t="str">
        <f t="shared" si="0"/>
        <v xml:space="preserve"> </v>
      </c>
    </row>
    <row r="20" spans="1:9" hidden="1">
      <c r="A20" s="9"/>
      <c r="B20" s="9"/>
      <c r="C20" s="11"/>
      <c r="D20" s="9"/>
      <c r="E20" s="11"/>
      <c r="F20" s="9"/>
      <c r="G20" s="9"/>
      <c r="H20" s="9"/>
      <c r="I20" s="58" t="str">
        <f t="shared" si="0"/>
        <v xml:space="preserve"> </v>
      </c>
    </row>
    <row r="21" spans="1:9" hidden="1">
      <c r="A21" s="9"/>
      <c r="B21" s="9"/>
      <c r="C21" s="11"/>
      <c r="D21" s="9"/>
      <c r="E21" s="11"/>
      <c r="F21" s="9"/>
      <c r="G21" s="9"/>
      <c r="H21" s="9"/>
      <c r="I21" s="58" t="str">
        <f t="shared" si="0"/>
        <v xml:space="preserve"> </v>
      </c>
    </row>
    <row r="22" spans="1:9" hidden="1">
      <c r="A22" s="9"/>
      <c r="B22" s="9"/>
      <c r="C22" s="11"/>
      <c r="D22" s="9"/>
      <c r="E22" s="11"/>
      <c r="F22" s="9"/>
      <c r="G22" s="9"/>
      <c r="H22" s="9"/>
      <c r="I22" s="58" t="str">
        <f t="shared" si="0"/>
        <v xml:space="preserve"> </v>
      </c>
    </row>
    <row r="23" spans="1:9" hidden="1">
      <c r="A23" s="9"/>
      <c r="B23" s="9"/>
      <c r="C23" s="11"/>
      <c r="D23" s="9"/>
      <c r="E23" s="11"/>
      <c r="F23" s="9"/>
      <c r="G23" s="9"/>
      <c r="H23" s="9"/>
      <c r="I23" s="58" t="str">
        <f t="shared" si="0"/>
        <v xml:space="preserve"> </v>
      </c>
    </row>
    <row r="24" spans="1:9" hidden="1">
      <c r="A24" s="9"/>
      <c r="B24" s="9"/>
      <c r="C24" s="11"/>
      <c r="D24" s="9"/>
      <c r="E24" s="11"/>
      <c r="F24" s="9"/>
      <c r="G24" s="9"/>
      <c r="H24" s="9"/>
      <c r="I24" s="58" t="str">
        <f t="shared" si="0"/>
        <v xml:space="preserve"> </v>
      </c>
    </row>
    <row r="25" spans="1:9" hidden="1">
      <c r="A25" s="9"/>
      <c r="B25" s="9"/>
      <c r="C25" s="11"/>
      <c r="D25" s="9"/>
      <c r="E25" s="11"/>
      <c r="F25" s="9"/>
      <c r="G25" s="9"/>
      <c r="H25" s="9"/>
      <c r="I25" s="58" t="str">
        <f t="shared" si="0"/>
        <v xml:space="preserve"> </v>
      </c>
    </row>
    <row r="26" spans="1:9" hidden="1">
      <c r="A26" s="9"/>
      <c r="B26" s="9"/>
      <c r="C26" s="11"/>
      <c r="D26" s="9"/>
      <c r="E26" s="11"/>
      <c r="F26" s="9"/>
      <c r="G26" s="9"/>
      <c r="H26" s="9"/>
      <c r="I26" s="58" t="str">
        <f t="shared" si="0"/>
        <v xml:space="preserve"> </v>
      </c>
    </row>
    <row r="27" spans="1:9" hidden="1">
      <c r="A27" s="9"/>
      <c r="B27" s="9"/>
      <c r="C27" s="11"/>
      <c r="D27" s="9"/>
      <c r="E27" s="11"/>
      <c r="F27" s="9"/>
      <c r="G27" s="9"/>
      <c r="H27" s="9"/>
      <c r="I27" s="58" t="str">
        <f t="shared" si="0"/>
        <v xml:space="preserve"> </v>
      </c>
    </row>
    <row r="28" spans="1:9" hidden="1">
      <c r="A28" s="9"/>
      <c r="B28" s="9"/>
      <c r="C28" s="11"/>
      <c r="D28" s="9"/>
      <c r="E28" s="11"/>
      <c r="F28" s="9"/>
      <c r="G28" s="9"/>
      <c r="H28" s="9"/>
      <c r="I28" s="58" t="str">
        <f t="shared" si="0"/>
        <v xml:space="preserve"> </v>
      </c>
    </row>
    <row r="29" spans="1:9" hidden="1">
      <c r="A29" s="9"/>
      <c r="B29" s="9"/>
      <c r="C29" s="11"/>
      <c r="D29" s="9"/>
      <c r="E29" s="11"/>
      <c r="F29" s="9"/>
      <c r="G29" s="9"/>
      <c r="H29" s="9"/>
      <c r="I29" s="58" t="str">
        <f t="shared" si="0"/>
        <v xml:space="preserve"> </v>
      </c>
    </row>
    <row r="30" spans="1:9" hidden="1">
      <c r="A30" s="9"/>
      <c r="B30" s="9"/>
      <c r="C30" s="11"/>
      <c r="D30" s="9"/>
      <c r="E30" s="11"/>
      <c r="F30" s="9"/>
      <c r="G30" s="9"/>
      <c r="H30" s="9"/>
      <c r="I30" s="58" t="str">
        <f t="shared" si="0"/>
        <v xml:space="preserve"> </v>
      </c>
    </row>
    <row r="31" spans="1:9" hidden="1">
      <c r="A31" s="9"/>
      <c r="B31" s="9"/>
      <c r="C31" s="11"/>
      <c r="D31" s="9"/>
      <c r="E31" s="11"/>
      <c r="F31" s="9"/>
      <c r="G31" s="9"/>
      <c r="H31" s="9"/>
      <c r="I31" s="58" t="str">
        <f t="shared" si="0"/>
        <v xml:space="preserve"> </v>
      </c>
    </row>
    <row r="32" spans="1:9" hidden="1">
      <c r="A32" s="9"/>
      <c r="B32" s="9"/>
      <c r="C32" s="11"/>
      <c r="D32" s="9"/>
      <c r="E32" s="11"/>
      <c r="F32" s="9"/>
      <c r="G32" s="9"/>
      <c r="H32" s="9"/>
      <c r="I32" s="58" t="str">
        <f t="shared" si="0"/>
        <v xml:space="preserve"> </v>
      </c>
    </row>
    <row r="33" spans="1:9" hidden="1">
      <c r="A33" s="9"/>
      <c r="B33" s="9"/>
      <c r="C33" s="11"/>
      <c r="D33" s="9"/>
      <c r="E33" s="11"/>
      <c r="F33" s="9"/>
      <c r="G33" s="9"/>
      <c r="H33" s="9"/>
      <c r="I33" s="58" t="str">
        <f t="shared" si="0"/>
        <v xml:space="preserve"> </v>
      </c>
    </row>
    <row r="34" spans="1:9" hidden="1">
      <c r="A34" s="9"/>
      <c r="B34" s="9"/>
      <c r="C34" s="11"/>
      <c r="D34" s="9"/>
      <c r="E34" s="11"/>
      <c r="F34" s="9"/>
      <c r="G34" s="9"/>
      <c r="H34" s="9"/>
      <c r="I34" s="58" t="str">
        <f t="shared" si="0"/>
        <v xml:space="preserve"> </v>
      </c>
    </row>
    <row r="35" spans="1:9" hidden="1">
      <c r="A35" s="9"/>
      <c r="B35" s="9"/>
      <c r="C35" s="11"/>
      <c r="D35" s="9"/>
      <c r="E35" s="11"/>
      <c r="F35" s="9"/>
      <c r="G35" s="9"/>
      <c r="H35" s="9"/>
      <c r="I35" s="58" t="str">
        <f t="shared" si="0"/>
        <v xml:space="preserve"> </v>
      </c>
    </row>
    <row r="36" spans="1:9">
      <c r="A36" s="9"/>
      <c r="B36" s="9"/>
      <c r="C36" s="11"/>
      <c r="D36" s="9"/>
      <c r="E36" s="11"/>
      <c r="F36" s="9"/>
      <c r="G36" s="9"/>
      <c r="H36" s="9"/>
      <c r="I36" s="58" t="str">
        <f t="shared" si="0"/>
        <v xml:space="preserve"> </v>
      </c>
    </row>
    <row r="37" spans="1:9">
      <c r="A37" s="24" t="s">
        <v>158</v>
      </c>
      <c r="B37" s="25">
        <f>SUM(B8:B36)</f>
        <v>449173</v>
      </c>
      <c r="C37" s="34">
        <f>SUM(C8:C24)</f>
        <v>35.369999999999997</v>
      </c>
      <c r="D37" s="25">
        <f>SUM(D8:D36)</f>
        <v>498483</v>
      </c>
      <c r="E37" s="34">
        <f>SUM(E8:E24)</f>
        <v>33.832999999999998</v>
      </c>
      <c r="F37" s="25">
        <f>SUM(F8:F36)</f>
        <v>747489</v>
      </c>
      <c r="G37" s="25">
        <f>SUM(G8:G36)</f>
        <v>433236</v>
      </c>
      <c r="H37" s="25"/>
      <c r="I37" s="34">
        <f>SUM(I8:I24)</f>
        <v>33.47</v>
      </c>
    </row>
    <row r="38" spans="1:9">
      <c r="A38" s="14"/>
      <c r="B38" s="14"/>
      <c r="C38" s="14"/>
      <c r="D38" s="14"/>
      <c r="E38" s="14"/>
      <c r="F38" s="14"/>
      <c r="G38" s="14"/>
      <c r="H38" s="14"/>
      <c r="I38" s="14"/>
    </row>
    <row r="39" spans="1:9">
      <c r="A39" s="15" t="s">
        <v>203</v>
      </c>
      <c r="B39" s="14"/>
      <c r="C39" s="14"/>
      <c r="D39" s="14"/>
      <c r="E39" s="14"/>
      <c r="F39" s="14"/>
      <c r="G39" s="14"/>
      <c r="H39" s="14"/>
      <c r="I39" s="14"/>
    </row>
    <row r="40" spans="1:9">
      <c r="A40" s="14"/>
      <c r="B40" s="14"/>
      <c r="C40" s="14"/>
      <c r="D40" s="14"/>
      <c r="E40" s="14"/>
      <c r="F40" s="14"/>
      <c r="G40" s="14"/>
      <c r="H40" s="14"/>
      <c r="I40" s="14"/>
    </row>
    <row r="41" spans="1:9">
      <c r="A41" s="61" t="s">
        <v>1111</v>
      </c>
      <c r="B41" s="14"/>
      <c r="C41" s="14"/>
      <c r="D41" s="14"/>
      <c r="E41" s="14"/>
      <c r="F41" s="14"/>
      <c r="G41" s="14"/>
      <c r="H41" s="14"/>
      <c r="I41" s="14"/>
    </row>
    <row r="42" spans="1:9">
      <c r="A42" s="16" t="s">
        <v>204</v>
      </c>
      <c r="B42" s="14"/>
      <c r="C42" s="14"/>
      <c r="D42" s="14" t="s">
        <v>188</v>
      </c>
      <c r="E42" s="10">
        <v>27</v>
      </c>
      <c r="F42" s="14"/>
      <c r="G42" s="14"/>
      <c r="H42" s="14"/>
      <c r="I42" s="14"/>
    </row>
    <row r="44" spans="1:9">
      <c r="A44" s="1"/>
      <c r="B44" s="1"/>
      <c r="C44" s="1"/>
      <c r="D44" s="1"/>
      <c r="E44" s="1"/>
      <c r="F44" s="1"/>
      <c r="G44" s="1"/>
      <c r="H44" s="1"/>
      <c r="I44" s="1"/>
    </row>
    <row r="45" spans="1:9">
      <c r="A45" s="4"/>
      <c r="B45" s="1"/>
      <c r="C45" s="1"/>
      <c r="D45" s="1"/>
      <c r="E45" s="1"/>
      <c r="F45" s="1"/>
      <c r="G45" s="1"/>
      <c r="H45" s="1"/>
      <c r="I45" s="1"/>
    </row>
    <row r="46" spans="1:9">
      <c r="A46" s="4"/>
      <c r="B46" s="5"/>
      <c r="C46" s="1"/>
      <c r="D46" s="5"/>
      <c r="E46" s="1"/>
      <c r="F46" s="5"/>
      <c r="G46" s="1"/>
      <c r="H46" s="1"/>
      <c r="I46" s="1"/>
    </row>
    <row r="47" spans="1:9">
      <c r="A47" s="4"/>
      <c r="B47" s="4"/>
      <c r="C47" s="1"/>
      <c r="D47" s="4"/>
      <c r="E47" s="1"/>
      <c r="F47" s="4"/>
      <c r="G47" s="1"/>
      <c r="H47" s="1"/>
      <c r="I47" s="1"/>
    </row>
    <row r="48" spans="1:9">
      <c r="A48" s="4"/>
      <c r="B48" s="4"/>
      <c r="C48" s="1"/>
      <c r="D48" s="4"/>
      <c r="E48" s="1"/>
      <c r="F48" s="4"/>
      <c r="G48" s="1"/>
      <c r="H48" s="1"/>
      <c r="I48" s="1"/>
    </row>
    <row r="49" spans="1:9">
      <c r="A49" s="4"/>
      <c r="B49" s="4"/>
      <c r="C49" s="1"/>
      <c r="D49" s="4"/>
      <c r="E49" s="1"/>
      <c r="F49" s="4"/>
      <c r="G49" s="1"/>
      <c r="H49" s="1"/>
      <c r="I49" s="1"/>
    </row>
    <row r="50" spans="1:9">
      <c r="A50" s="4"/>
      <c r="B50" s="4"/>
      <c r="C50" s="1"/>
      <c r="D50" s="4"/>
      <c r="E50" s="1"/>
      <c r="F50" s="4"/>
      <c r="G50" s="1"/>
      <c r="H50" s="1"/>
      <c r="I50" s="1"/>
    </row>
    <row r="51" spans="1:9">
      <c r="A51" s="4"/>
      <c r="B51" s="4"/>
      <c r="C51" s="1"/>
      <c r="D51" s="4"/>
      <c r="E51" s="1"/>
      <c r="F51" s="4"/>
      <c r="G51" s="1"/>
      <c r="H51" s="1"/>
      <c r="I51" s="1"/>
    </row>
    <row r="52" spans="1:9">
      <c r="B52" s="1"/>
      <c r="C52" s="1"/>
      <c r="D52" s="1"/>
      <c r="E52" s="1"/>
      <c r="F52" s="1"/>
      <c r="G52" s="1"/>
      <c r="H52" s="1"/>
      <c r="I52" s="1"/>
    </row>
    <row r="53" spans="1:9">
      <c r="B53" s="1"/>
      <c r="C53" s="1"/>
      <c r="D53" s="1"/>
      <c r="E53" s="1"/>
      <c r="F53" s="1"/>
      <c r="G53" s="1"/>
      <c r="H53" s="1"/>
      <c r="I53" s="1"/>
    </row>
    <row r="54" spans="1:9">
      <c r="B54" s="8"/>
      <c r="C54" s="1"/>
      <c r="D54" s="1"/>
      <c r="E54" s="1"/>
      <c r="F54" s="1"/>
      <c r="G54" s="1"/>
      <c r="H54" s="1"/>
      <c r="I54" s="1"/>
    </row>
    <row r="55" spans="1:9">
      <c r="B55" s="7"/>
      <c r="C55" s="1"/>
      <c r="D55" s="1"/>
      <c r="E55" s="1"/>
      <c r="F55" s="1"/>
      <c r="G55" s="1"/>
      <c r="H55" s="1"/>
      <c r="I55" s="1"/>
    </row>
    <row r="56" spans="1:9">
      <c r="A56" s="1"/>
      <c r="B56" s="1"/>
      <c r="C56" s="1"/>
      <c r="D56" s="1"/>
      <c r="E56" s="1"/>
      <c r="F56" s="1"/>
      <c r="G56" s="1"/>
      <c r="H56" s="1"/>
      <c r="I56" s="1"/>
    </row>
    <row r="57" spans="1:9">
      <c r="A57" s="1"/>
      <c r="B57" s="1" t="s">
        <v>170</v>
      </c>
      <c r="C57" s="10"/>
      <c r="D57" s="1"/>
      <c r="E57" s="1"/>
      <c r="F57" s="1"/>
      <c r="G57" s="1"/>
      <c r="H57" s="1"/>
      <c r="I57" s="1"/>
    </row>
  </sheetData>
  <mergeCells count="2">
    <mergeCell ref="G6:G7"/>
    <mergeCell ref="H6:H7"/>
  </mergeCells>
  <phoneticPr fontId="0" type="noConversion"/>
  <pageMargins left="1.1200000000000001" right="0.5" top="0.74" bottom="0.34" header="0.5" footer="0"/>
  <pageSetup scale="58" orientation="portrait" blackAndWhite="1" horizontalDpi="120" r:id="rId1"/>
  <headerFooter alignWithMargins="0">
    <oddHeader xml:space="preserve">&amp;RState of Kansas
County
</oddHeader>
  </headerFooter>
</worksheet>
</file>

<file path=xl/worksheets/sheet44.xml><?xml version="1.0" encoding="utf-8"?>
<worksheet xmlns="http://schemas.openxmlformats.org/spreadsheetml/2006/main" xmlns:r="http://schemas.openxmlformats.org/officeDocument/2006/relationships">
  <sheetPr>
    <pageSetUpPr fitToPage="1"/>
  </sheetPr>
  <dimension ref="A1:F52"/>
  <sheetViews>
    <sheetView workbookViewId="0">
      <selection activeCell="E50" sqref="E50"/>
    </sheetView>
  </sheetViews>
  <sheetFormatPr defaultRowHeight="15"/>
  <cols>
    <col min="1" max="1" width="9.21875" style="164" customWidth="1"/>
    <col min="2" max="2" width="18.5546875" style="164" customWidth="1"/>
    <col min="3" max="3" width="11.77734375" style="164" customWidth="1"/>
    <col min="4" max="4" width="12.77734375" style="164" customWidth="1"/>
    <col min="5" max="5" width="11.77734375" style="164" customWidth="1"/>
    <col min="6" max="16384" width="8.88671875" style="164"/>
  </cols>
  <sheetData>
    <row r="1" spans="1:6" ht="15.75">
      <c r="A1" s="226" t="str">
        <f>inputPrYr!C2</f>
        <v>Lyon County</v>
      </c>
      <c r="B1" s="84"/>
      <c r="C1" s="84"/>
      <c r="D1" s="84"/>
      <c r="E1" s="84"/>
      <c r="F1" s="324">
        <f>inputPrYr!C4</f>
        <v>2014</v>
      </c>
    </row>
    <row r="2" spans="1:6" ht="15.75">
      <c r="A2" s="84"/>
      <c r="B2" s="84"/>
      <c r="C2" s="84"/>
      <c r="D2" s="84"/>
      <c r="E2" s="84"/>
      <c r="F2" s="84"/>
    </row>
    <row r="3" spans="1:6" ht="15.75">
      <c r="A3" s="84"/>
      <c r="B3" s="779" t="str">
        <f>CONCATENATE("",F1," Neighborhood Revitalization Rebate")</f>
        <v>2014 Neighborhood Revitalization Rebate</v>
      </c>
      <c r="C3" s="827"/>
      <c r="D3" s="827"/>
      <c r="E3" s="827"/>
      <c r="F3" s="84"/>
    </row>
    <row r="4" spans="1:6" ht="15.75">
      <c r="A4" s="84"/>
      <c r="B4" s="84"/>
      <c r="C4" s="84"/>
      <c r="D4" s="84"/>
      <c r="E4" s="84"/>
      <c r="F4" s="84"/>
    </row>
    <row r="5" spans="1:6" ht="51" customHeight="1">
      <c r="A5" s="84"/>
      <c r="B5" s="393" t="str">
        <f>CONCATENATE("Budgeted Funds                       for ",F1,"")</f>
        <v>Budgeted Funds                       for 2014</v>
      </c>
      <c r="C5" s="393" t="str">
        <f>CONCATENATE("",F1-1," Ad Valorem before Rebate**")</f>
        <v>2013 Ad Valorem before Rebate**</v>
      </c>
      <c r="D5" s="394" t="str">
        <f>CONCATENATE("",F1-1," Mil Rate before Rebate")</f>
        <v>2013 Mil Rate before Rebate</v>
      </c>
      <c r="E5" s="395" t="str">
        <f>CONCATENATE("Estimate ",F1," NR Rebate")</f>
        <v>Estimate 2014 NR Rebate</v>
      </c>
      <c r="F5" s="136"/>
    </row>
    <row r="6" spans="1:6" ht="15.75">
      <c r="A6" s="84"/>
      <c r="B6" s="102" t="str">
        <f>inputPrYr!B16</f>
        <v>General</v>
      </c>
      <c r="C6" s="396"/>
      <c r="D6" s="397" t="str">
        <f>IF(C6&gt;0,C6/$D$36,"")</f>
        <v/>
      </c>
      <c r="E6" s="277" t="str">
        <f t="shared" ref="E6:E30" si="0">IF(C6&gt;0,ROUND(D6*$D$40,0),"")</f>
        <v/>
      </c>
      <c r="F6" s="136"/>
    </row>
    <row r="7" spans="1:6" ht="15.75">
      <c r="A7" s="84"/>
      <c r="B7" s="102" t="str">
        <f>inputPrYr!B17</f>
        <v>Debt Service</v>
      </c>
      <c r="C7" s="396"/>
      <c r="D7" s="397" t="str">
        <f t="shared" ref="D7:D30" si="1">IF(C7&gt;0,C7/$D$36,"")</f>
        <v/>
      </c>
      <c r="E7" s="277" t="str">
        <f t="shared" si="0"/>
        <v/>
      </c>
      <c r="F7" s="136"/>
    </row>
    <row r="8" spans="1:6" ht="15.75">
      <c r="A8" s="84"/>
      <c r="B8" s="102" t="str">
        <f>inputPrYr!B18</f>
        <v>Road &amp; Bridge</v>
      </c>
      <c r="C8" s="396"/>
      <c r="D8" s="397" t="str">
        <f t="shared" si="1"/>
        <v/>
      </c>
      <c r="E8" s="277" t="str">
        <f t="shared" si="0"/>
        <v/>
      </c>
      <c r="F8" s="136"/>
    </row>
    <row r="9" spans="1:6" ht="15.75">
      <c r="A9" s="84"/>
      <c r="B9" s="102" t="str">
        <f>inputPrYr!B19</f>
        <v>Multi-year Cap Imp (17)</v>
      </c>
      <c r="C9" s="396"/>
      <c r="D9" s="397" t="str">
        <f t="shared" si="1"/>
        <v/>
      </c>
      <c r="E9" s="277" t="str">
        <f t="shared" si="0"/>
        <v/>
      </c>
      <c r="F9" s="136"/>
    </row>
    <row r="10" spans="1:6" ht="15.75">
      <c r="A10" s="84"/>
      <c r="B10" s="102" t="str">
        <f>inputPrYr!B20</f>
        <v>Mental Health (23)</v>
      </c>
      <c r="C10" s="396"/>
      <c r="D10" s="397" t="str">
        <f t="shared" si="1"/>
        <v/>
      </c>
      <c r="E10" s="277" t="str">
        <f t="shared" si="0"/>
        <v/>
      </c>
      <c r="F10" s="136"/>
    </row>
    <row r="11" spans="1:6" ht="15.75">
      <c r="A11" s="84"/>
      <c r="B11" s="102" t="str">
        <f>inputPrYr!B21</f>
        <v>Newman Hospital (25)</v>
      </c>
      <c r="C11" s="396"/>
      <c r="D11" s="397" t="str">
        <f t="shared" si="1"/>
        <v/>
      </c>
      <c r="E11" s="277" t="str">
        <f t="shared" si="0"/>
        <v/>
      </c>
      <c r="F11" s="136"/>
    </row>
    <row r="12" spans="1:6" ht="15.75">
      <c r="A12" s="84"/>
      <c r="B12" s="102" t="str">
        <f>inputPrYr!B22</f>
        <v>Noxious Weeds (26)</v>
      </c>
      <c r="C12" s="398"/>
      <c r="D12" s="397" t="str">
        <f t="shared" si="1"/>
        <v/>
      </c>
      <c r="E12" s="277" t="str">
        <f t="shared" si="0"/>
        <v/>
      </c>
      <c r="F12" s="136"/>
    </row>
    <row r="13" spans="1:6" ht="15.75">
      <c r="A13" s="84"/>
      <c r="B13" s="102" t="str">
        <f>inputPrYr!B23</f>
        <v>Hetlinger Development (28)</v>
      </c>
      <c r="C13" s="398"/>
      <c r="D13" s="397" t="str">
        <f t="shared" si="1"/>
        <v/>
      </c>
      <c r="E13" s="277" t="str">
        <f t="shared" si="0"/>
        <v/>
      </c>
      <c r="F13" s="136"/>
    </row>
    <row r="14" spans="1:6" ht="15.75">
      <c r="A14" s="84"/>
      <c r="B14" s="102" t="str">
        <f>inputPrYr!B24</f>
        <v>Special Bridge 1135 (33)</v>
      </c>
      <c r="C14" s="398"/>
      <c r="D14" s="397" t="str">
        <f t="shared" si="1"/>
        <v/>
      </c>
      <c r="E14" s="277" t="str">
        <f t="shared" si="0"/>
        <v/>
      </c>
      <c r="F14" s="136"/>
    </row>
    <row r="15" spans="1:6" ht="15.75">
      <c r="A15" s="84"/>
      <c r="B15" s="102" t="str">
        <f>inputPrYr!B25</f>
        <v>Special R&amp;B 559A (41)</v>
      </c>
      <c r="C15" s="398"/>
      <c r="D15" s="397" t="str">
        <f t="shared" si="1"/>
        <v/>
      </c>
      <c r="E15" s="277" t="str">
        <f t="shared" si="0"/>
        <v/>
      </c>
      <c r="F15" s="136"/>
    </row>
    <row r="16" spans="1:6" ht="15.75">
      <c r="A16" s="84"/>
      <c r="B16" s="102" t="str">
        <f>inputPrYr!B26</f>
        <v xml:space="preserve">Tort Liability (53) </v>
      </c>
      <c r="C16" s="398"/>
      <c r="D16" s="397" t="str">
        <f t="shared" si="1"/>
        <v/>
      </c>
      <c r="E16" s="277" t="str">
        <f t="shared" si="0"/>
        <v/>
      </c>
      <c r="F16" s="136"/>
    </row>
    <row r="17" spans="1:6" ht="15.75">
      <c r="A17" s="84"/>
      <c r="B17" s="102" t="str">
        <f>inputPrYr!B27</f>
        <v>Health Department (66)</v>
      </c>
      <c r="C17" s="398"/>
      <c r="D17" s="397" t="str">
        <f t="shared" si="1"/>
        <v/>
      </c>
      <c r="E17" s="277" t="str">
        <f t="shared" si="0"/>
        <v/>
      </c>
      <c r="F17" s="136"/>
    </row>
    <row r="18" spans="1:6" ht="15.75">
      <c r="A18" s="84"/>
      <c r="B18" s="102" t="str">
        <f>inputPrYr!B28</f>
        <v>Bond &amp; Interest (50)</v>
      </c>
      <c r="C18" s="398"/>
      <c r="D18" s="397" t="str">
        <f t="shared" si="1"/>
        <v/>
      </c>
      <c r="E18" s="277" t="str">
        <f t="shared" si="0"/>
        <v/>
      </c>
      <c r="F18" s="136"/>
    </row>
    <row r="19" spans="1:6" ht="15.75">
      <c r="A19" s="84"/>
      <c r="B19" s="102" t="str">
        <f>inputPrYr!B29</f>
        <v>No Fund Warrant (51)</v>
      </c>
      <c r="C19" s="398"/>
      <c r="D19" s="397" t="str">
        <f t="shared" si="1"/>
        <v/>
      </c>
      <c r="E19" s="277" t="str">
        <f t="shared" si="0"/>
        <v/>
      </c>
      <c r="F19" s="136"/>
    </row>
    <row r="20" spans="1:6" ht="15.75">
      <c r="A20" s="84"/>
      <c r="B20" s="102">
        <f>inputPrYr!B30</f>
        <v>0</v>
      </c>
      <c r="C20" s="398"/>
      <c r="D20" s="397" t="str">
        <f t="shared" si="1"/>
        <v/>
      </c>
      <c r="E20" s="277" t="str">
        <f t="shared" si="0"/>
        <v/>
      </c>
      <c r="F20" s="136"/>
    </row>
    <row r="21" spans="1:6" ht="15.75">
      <c r="A21" s="84"/>
      <c r="B21" s="102">
        <f>inputPrYr!B31</f>
        <v>0</v>
      </c>
      <c r="C21" s="398"/>
      <c r="D21" s="397" t="str">
        <f t="shared" si="1"/>
        <v/>
      </c>
      <c r="E21" s="277" t="str">
        <f t="shared" si="0"/>
        <v/>
      </c>
      <c r="F21" s="136"/>
    </row>
    <row r="22" spans="1:6" ht="15.75">
      <c r="A22" s="84"/>
      <c r="B22" s="102">
        <f>inputPrYr!B32</f>
        <v>0</v>
      </c>
      <c r="C22" s="398"/>
      <c r="D22" s="397" t="str">
        <f t="shared" si="1"/>
        <v/>
      </c>
      <c r="E22" s="277" t="str">
        <f t="shared" si="0"/>
        <v/>
      </c>
      <c r="F22" s="136"/>
    </row>
    <row r="23" spans="1:6" ht="15.75">
      <c r="A23" s="84"/>
      <c r="B23" s="102">
        <f>inputPrYr!B33</f>
        <v>0</v>
      </c>
      <c r="C23" s="398"/>
      <c r="D23" s="397" t="str">
        <f t="shared" si="1"/>
        <v/>
      </c>
      <c r="E23" s="277" t="str">
        <f t="shared" si="0"/>
        <v/>
      </c>
      <c r="F23" s="136"/>
    </row>
    <row r="24" spans="1:6" ht="15.75">
      <c r="A24" s="84"/>
      <c r="B24" s="102">
        <f>inputPrYr!B34</f>
        <v>0</v>
      </c>
      <c r="C24" s="398"/>
      <c r="D24" s="397" t="str">
        <f t="shared" si="1"/>
        <v/>
      </c>
      <c r="E24" s="277" t="str">
        <f t="shared" si="0"/>
        <v/>
      </c>
      <c r="F24" s="136"/>
    </row>
    <row r="25" spans="1:6" ht="15.75">
      <c r="A25" s="84"/>
      <c r="B25" s="102">
        <f>inputPrYr!B35</f>
        <v>0</v>
      </c>
      <c r="C25" s="398"/>
      <c r="D25" s="397" t="str">
        <f t="shared" si="1"/>
        <v/>
      </c>
      <c r="E25" s="277" t="str">
        <f t="shared" si="0"/>
        <v/>
      </c>
      <c r="F25" s="136"/>
    </row>
    <row r="26" spans="1:6" ht="15.75">
      <c r="A26" s="84"/>
      <c r="B26" s="102">
        <f>inputPrYr!B36</f>
        <v>0</v>
      </c>
      <c r="C26" s="398"/>
      <c r="D26" s="397" t="str">
        <f t="shared" si="1"/>
        <v/>
      </c>
      <c r="E26" s="277" t="str">
        <f t="shared" si="0"/>
        <v/>
      </c>
      <c r="F26" s="136"/>
    </row>
    <row r="27" spans="1:6" ht="15.75">
      <c r="A27" s="84"/>
      <c r="B27" s="102">
        <f>inputPrYr!B37</f>
        <v>0</v>
      </c>
      <c r="C27" s="398"/>
      <c r="D27" s="397" t="str">
        <f t="shared" si="1"/>
        <v/>
      </c>
      <c r="E27" s="277" t="str">
        <f t="shared" si="0"/>
        <v/>
      </c>
      <c r="F27" s="136"/>
    </row>
    <row r="28" spans="1:6" ht="15.75">
      <c r="A28" s="84"/>
      <c r="B28" s="102">
        <f>inputPrYr!B38</f>
        <v>0</v>
      </c>
      <c r="C28" s="398"/>
      <c r="D28" s="397" t="str">
        <f t="shared" si="1"/>
        <v/>
      </c>
      <c r="E28" s="277" t="str">
        <f t="shared" si="0"/>
        <v/>
      </c>
      <c r="F28" s="136"/>
    </row>
    <row r="29" spans="1:6" ht="15.75">
      <c r="A29" s="84"/>
      <c r="B29" s="102">
        <f>inputPrYr!B39</f>
        <v>0</v>
      </c>
      <c r="C29" s="398"/>
      <c r="D29" s="397" t="str">
        <f t="shared" si="1"/>
        <v/>
      </c>
      <c r="E29" s="277" t="str">
        <f t="shared" si="0"/>
        <v/>
      </c>
      <c r="F29" s="136"/>
    </row>
    <row r="30" spans="1:6" ht="15.75">
      <c r="A30" s="84"/>
      <c r="B30" s="102">
        <f>inputPrYr!B40</f>
        <v>0</v>
      </c>
      <c r="C30" s="398"/>
      <c r="D30" s="397" t="str">
        <f t="shared" si="1"/>
        <v/>
      </c>
      <c r="E30" s="277" t="str">
        <f t="shared" si="0"/>
        <v/>
      </c>
      <c r="F30" s="136"/>
    </row>
    <row r="31" spans="1:6" ht="16.5" thickBot="1">
      <c r="A31" s="84"/>
      <c r="B31" s="107" t="s">
        <v>153</v>
      </c>
      <c r="C31" s="399">
        <f>SUM(C6:C30)</f>
        <v>0</v>
      </c>
      <c r="D31" s="400">
        <f>SUM(D6:D30)</f>
        <v>0</v>
      </c>
      <c r="E31" s="399">
        <f>SUM(E6:E30)</f>
        <v>0</v>
      </c>
      <c r="F31" s="136"/>
    </row>
    <row r="32" spans="1:6" ht="16.5" thickTop="1">
      <c r="A32" s="84"/>
      <c r="B32" s="84"/>
      <c r="C32" s="84"/>
      <c r="D32" s="84"/>
      <c r="E32" s="84"/>
      <c r="F32" s="136"/>
    </row>
    <row r="33" spans="1:6" ht="15.75">
      <c r="A33" s="84"/>
      <c r="B33" s="84"/>
      <c r="C33" s="84"/>
      <c r="D33" s="84"/>
      <c r="E33" s="84"/>
      <c r="F33" s="136"/>
    </row>
    <row r="34" spans="1:6" ht="15.75">
      <c r="A34" s="828" t="str">
        <f>CONCATENATE("",F1-1," July 1 Valuation:")</f>
        <v>2013 July 1 Valuation:</v>
      </c>
      <c r="B34" s="799"/>
      <c r="C34" s="828"/>
      <c r="D34" s="401">
        <f>inputOth!E6</f>
        <v>269025233</v>
      </c>
      <c r="E34" s="84"/>
      <c r="F34" s="136"/>
    </row>
    <row r="35" spans="1:6" ht="15.75">
      <c r="A35" s="84"/>
      <c r="B35" s="84"/>
      <c r="C35" s="84"/>
      <c r="D35" s="84"/>
      <c r="E35" s="84"/>
      <c r="F35" s="136"/>
    </row>
    <row r="36" spans="1:6" ht="15.75">
      <c r="A36" s="84"/>
      <c r="B36" s="828" t="s">
        <v>407</v>
      </c>
      <c r="C36" s="828"/>
      <c r="D36" s="402">
        <f>IF(D34&gt;0,(D34*0.001),"")</f>
        <v>269025.23300000001</v>
      </c>
      <c r="E36" s="84"/>
      <c r="F36" s="136"/>
    </row>
    <row r="37" spans="1:6" ht="15.75">
      <c r="A37" s="84"/>
      <c r="B37" s="285"/>
      <c r="C37" s="285"/>
      <c r="D37" s="403"/>
      <c r="E37" s="84"/>
      <c r="F37" s="136"/>
    </row>
    <row r="38" spans="1:6" ht="15.75">
      <c r="A38" s="826" t="s">
        <v>408</v>
      </c>
      <c r="B38" s="771"/>
      <c r="C38" s="771"/>
      <c r="D38" s="404">
        <f>inputOth!E12</f>
        <v>1565485</v>
      </c>
      <c r="E38" s="153"/>
      <c r="F38" s="153"/>
    </row>
    <row r="39" spans="1:6">
      <c r="A39" s="153"/>
      <c r="B39" s="153"/>
      <c r="C39" s="153"/>
      <c r="D39" s="405"/>
      <c r="E39" s="153"/>
      <c r="F39" s="153"/>
    </row>
    <row r="40" spans="1:6" ht="15.75">
      <c r="A40" s="153"/>
      <c r="B40" s="826" t="s">
        <v>409</v>
      </c>
      <c r="C40" s="799"/>
      <c r="D40" s="406">
        <f>IF(D38&gt;0,(D38*0.001),"")</f>
        <v>1565.4850000000001</v>
      </c>
      <c r="E40" s="153"/>
      <c r="F40" s="153"/>
    </row>
    <row r="41" spans="1:6">
      <c r="A41" s="153"/>
      <c r="B41" s="153"/>
      <c r="C41" s="153"/>
      <c r="D41" s="153"/>
      <c r="E41" s="153"/>
      <c r="F41" s="153"/>
    </row>
    <row r="42" spans="1:6">
      <c r="A42" s="153"/>
      <c r="B42" s="153"/>
      <c r="C42" s="153"/>
      <c r="D42" s="153"/>
      <c r="E42" s="153"/>
      <c r="F42" s="153"/>
    </row>
    <row r="43" spans="1:6" ht="15.75">
      <c r="A43" s="27" t="str">
        <f>CONCATENATE("**This information comes from the ",F1," Budget Summary page.  See instructions tab #11 for completing")</f>
        <v>**This information comes from the 2014 Budget Summary page.  See instructions tab #11 for completing</v>
      </c>
      <c r="B43" s="153"/>
      <c r="C43" s="153"/>
      <c r="D43" s="153"/>
      <c r="E43" s="153"/>
      <c r="F43" s="153"/>
    </row>
    <row r="44" spans="1:6" ht="15.75">
      <c r="A44" s="27" t="s">
        <v>653</v>
      </c>
      <c r="B44" s="153"/>
      <c r="C44" s="153"/>
      <c r="D44" s="153"/>
      <c r="E44" s="153"/>
      <c r="F44" s="153"/>
    </row>
    <row r="45" spans="1:6" ht="15.75">
      <c r="A45" s="27"/>
      <c r="B45" s="153"/>
      <c r="C45" s="153"/>
      <c r="D45" s="153"/>
      <c r="E45" s="153"/>
      <c r="F45" s="153"/>
    </row>
    <row r="46" spans="1:6" ht="15.75">
      <c r="A46" s="27"/>
      <c r="B46" s="153"/>
      <c r="C46" s="153"/>
      <c r="D46" s="153"/>
      <c r="E46" s="153"/>
      <c r="F46" s="153"/>
    </row>
    <row r="47" spans="1:6" ht="15.75">
      <c r="A47" s="27"/>
      <c r="B47" s="153"/>
      <c r="C47" s="153"/>
      <c r="D47" s="153"/>
      <c r="E47" s="153"/>
      <c r="F47" s="153"/>
    </row>
    <row r="48" spans="1:6" ht="15.75">
      <c r="A48" s="27"/>
      <c r="B48" s="153"/>
      <c r="C48" s="153"/>
      <c r="D48" s="153"/>
      <c r="E48" s="153"/>
      <c r="F48" s="153"/>
    </row>
    <row r="49" spans="1:6">
      <c r="A49" s="153"/>
      <c r="B49" s="153"/>
      <c r="C49" s="153"/>
      <c r="D49" s="153"/>
      <c r="E49" s="153"/>
      <c r="F49" s="153"/>
    </row>
    <row r="50" spans="1:6">
      <c r="A50" s="153"/>
      <c r="B50" s="153"/>
      <c r="C50" s="153"/>
      <c r="D50" s="153"/>
      <c r="E50" s="153"/>
      <c r="F50" s="153"/>
    </row>
    <row r="51" spans="1:6" ht="15.75">
      <c r="A51" s="153"/>
      <c r="B51" s="320" t="s">
        <v>188</v>
      </c>
      <c r="C51" s="347"/>
      <c r="D51" s="153"/>
      <c r="E51" s="153"/>
      <c r="F51" s="153"/>
    </row>
    <row r="52" spans="1:6" ht="15.75">
      <c r="A52" s="136"/>
      <c r="B52" s="84"/>
      <c r="C52" s="84"/>
      <c r="D52" s="407"/>
      <c r="E52" s="136"/>
      <c r="F52" s="136"/>
    </row>
  </sheetData>
  <sheetProtection sheet="1"/>
  <mergeCells count="5">
    <mergeCell ref="B40:C40"/>
    <mergeCell ref="B3:E3"/>
    <mergeCell ref="A34:C34"/>
    <mergeCell ref="B36:C36"/>
    <mergeCell ref="A38:C38"/>
  </mergeCells>
  <phoneticPr fontId="8" type="noConversion"/>
  <pageMargins left="0.75" right="0.75" top="1" bottom="1" header="0.5" footer="0.5"/>
  <pageSetup scale="77" orientation="portrait" blackAndWhite="1" r:id="rId1"/>
  <headerFooter alignWithMargins="0">
    <oddHeader>&amp;RState of Kansas
County</oddHeader>
  </headerFooter>
</worksheet>
</file>

<file path=xl/worksheets/sheet45.xml><?xml version="1.0" encoding="utf-8"?>
<worksheet xmlns="http://schemas.openxmlformats.org/spreadsheetml/2006/main" xmlns:r="http://schemas.openxmlformats.org/officeDocument/2006/relationships">
  <sheetPr codeName="Sheet34"/>
  <dimension ref="A1:H72"/>
  <sheetViews>
    <sheetView topLeftCell="A4" workbookViewId="0">
      <selection activeCell="A10" sqref="A10:H15"/>
    </sheetView>
  </sheetViews>
  <sheetFormatPr defaultColWidth="9.77734375" defaultRowHeight="15.75"/>
  <cols>
    <col min="1" max="16384" width="9.77734375" style="39"/>
  </cols>
  <sheetData>
    <row r="1" spans="1:8" ht="11.25" customHeight="1">
      <c r="A1" s="35"/>
      <c r="B1" s="36"/>
      <c r="C1" s="36"/>
      <c r="D1" s="36"/>
      <c r="E1" s="36"/>
      <c r="F1" s="36"/>
      <c r="G1" s="37"/>
      <c r="H1" s="38"/>
    </row>
    <row r="2" spans="1:8" ht="15.75" customHeight="1">
      <c r="A2" s="829" t="s">
        <v>294</v>
      </c>
      <c r="B2" s="829"/>
      <c r="C2" s="829"/>
      <c r="D2" s="829"/>
      <c r="E2" s="829"/>
      <c r="F2" s="829"/>
      <c r="G2" s="829"/>
      <c r="H2" s="829"/>
    </row>
    <row r="3" spans="1:8" ht="9" customHeight="1">
      <c r="A3" s="35"/>
      <c r="B3" s="53"/>
      <c r="C3" s="53"/>
      <c r="D3" s="53"/>
      <c r="E3" s="53"/>
      <c r="F3" s="53"/>
      <c r="G3" s="40"/>
      <c r="H3" s="54"/>
    </row>
    <row r="4" spans="1:8" ht="15.75" customHeight="1">
      <c r="A4" s="830" t="s">
        <v>295</v>
      </c>
      <c r="B4" s="830"/>
      <c r="C4" s="830"/>
      <c r="D4" s="830"/>
      <c r="E4" s="830"/>
      <c r="F4" s="830"/>
      <c r="G4" s="830"/>
      <c r="H4" s="830"/>
    </row>
    <row r="5" spans="1:8" ht="9" customHeight="1">
      <c r="A5" s="41"/>
      <c r="B5" s="53"/>
      <c r="C5" s="53"/>
      <c r="D5" s="53"/>
      <c r="E5" s="53"/>
      <c r="F5" s="53"/>
      <c r="G5" s="53"/>
      <c r="H5" s="54"/>
    </row>
    <row r="6" spans="1:8" ht="15.75" customHeight="1">
      <c r="A6" s="42" t="str">
        <f>CONCATENATE("A resolution expressing the property taxation policy of the Board of ",(inputPrYr!C2)," Commissioners")</f>
        <v>A resolution expressing the property taxation policy of the Board of Lyon County Commissioners</v>
      </c>
      <c r="B6" s="53"/>
      <c r="C6" s="53"/>
      <c r="D6" s="53"/>
      <c r="E6" s="53"/>
      <c r="F6" s="53"/>
      <c r="G6" s="53"/>
      <c r="H6" s="54"/>
    </row>
    <row r="7" spans="1:8" ht="15.75" customHeight="1">
      <c r="A7" s="42" t="str">
        <f>CONCATENATE("with respect to financing the ",inputPrYr!C4," annual budget for ",(inputPrYr!E2)," .")</f>
        <v>with respect to financing the 2014 annual budget for  .</v>
      </c>
      <c r="B7" s="53"/>
      <c r="C7" s="53"/>
      <c r="D7" s="53"/>
      <c r="E7" s="53"/>
      <c r="F7" s="53"/>
      <c r="G7" s="53"/>
      <c r="H7" s="54"/>
    </row>
    <row r="8" spans="1:8" ht="9" customHeight="1">
      <c r="A8" s="35"/>
      <c r="B8" s="53"/>
      <c r="C8" s="53"/>
      <c r="D8" s="53"/>
      <c r="E8" s="53"/>
      <c r="F8" s="53"/>
      <c r="G8" s="53"/>
      <c r="H8" s="54"/>
    </row>
    <row r="9" spans="1:8" ht="15.75" customHeight="1">
      <c r="A9" s="43" t="str">
        <f>CONCATENATE("Whereas, K.S.A. 79-2925b provides that a resolution be adopted if property taxes levied to finance the ",inputPrYr!C4,"")</f>
        <v>Whereas, K.S.A. 79-2925b provides that a resolution be adopted if property taxes levied to finance the 2014</v>
      </c>
      <c r="B9" s="53"/>
      <c r="C9" s="53"/>
      <c r="D9" s="53"/>
      <c r="E9" s="53"/>
      <c r="F9" s="53"/>
      <c r="G9" s="53"/>
      <c r="H9" s="54"/>
    </row>
    <row r="10" spans="1:8" ht="15.75" customHeight="1">
      <c r="A10" s="832" t="str">
        <f>CONCATENATE("",(inputPrYr!C2)," budget exceed the amount levied to finance the ",inputPrYr!C4-1," ",(inputPrYr!C2)," ",A16,)</f>
        <v>Lyon County budget exceed the amount levied to finance the 2013 Lyon County budget, except with regard to revenue produced and attributable to the 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v>
      </c>
      <c r="B10" s="832"/>
      <c r="C10" s="832"/>
      <c r="D10" s="832"/>
      <c r="E10" s="832"/>
      <c r="F10" s="832"/>
      <c r="G10" s="832"/>
      <c r="H10" s="832"/>
    </row>
    <row r="11" spans="1:8" ht="15.75" customHeight="1">
      <c r="A11" s="832"/>
      <c r="B11" s="832"/>
      <c r="C11" s="832"/>
      <c r="D11" s="832"/>
      <c r="E11" s="832"/>
      <c r="F11" s="832"/>
      <c r="G11" s="832"/>
      <c r="H11" s="832"/>
    </row>
    <row r="12" spans="1:8" ht="15.75" customHeight="1">
      <c r="A12" s="832"/>
      <c r="B12" s="832"/>
      <c r="C12" s="832"/>
      <c r="D12" s="832"/>
      <c r="E12" s="832"/>
      <c r="F12" s="832"/>
      <c r="G12" s="832"/>
      <c r="H12" s="832"/>
    </row>
    <row r="13" spans="1:8" ht="15.75" customHeight="1">
      <c r="A13" s="832"/>
      <c r="B13" s="832"/>
      <c r="C13" s="832"/>
      <c r="D13" s="832"/>
      <c r="E13" s="832"/>
      <c r="F13" s="832"/>
      <c r="G13" s="832"/>
      <c r="H13" s="832"/>
    </row>
    <row r="14" spans="1:8" ht="15.75" customHeight="1">
      <c r="A14" s="832"/>
      <c r="B14" s="832"/>
      <c r="C14" s="832"/>
      <c r="D14" s="832"/>
      <c r="E14" s="832"/>
      <c r="F14" s="832"/>
      <c r="G14" s="832"/>
      <c r="H14" s="832"/>
    </row>
    <row r="15" spans="1:8" ht="15.75" customHeight="1">
      <c r="A15" s="832"/>
      <c r="B15" s="832"/>
      <c r="C15" s="832"/>
      <c r="D15" s="832"/>
      <c r="E15" s="832"/>
      <c r="F15" s="832"/>
      <c r="G15" s="832"/>
      <c r="H15" s="832"/>
    </row>
    <row r="16" spans="1:8" ht="9" customHeight="1">
      <c r="A16" s="55" t="s">
        <v>322</v>
      </c>
      <c r="B16" s="53"/>
      <c r="C16" s="53"/>
      <c r="D16" s="53"/>
      <c r="E16" s="53"/>
      <c r="F16" s="53"/>
      <c r="G16" s="53"/>
      <c r="H16" s="54" t="s">
        <v>189</v>
      </c>
    </row>
    <row r="17" spans="1:8" ht="15.75" customHeight="1">
      <c r="A17" s="832" t="s">
        <v>296</v>
      </c>
      <c r="B17" s="832"/>
      <c r="C17" s="832"/>
      <c r="D17" s="832"/>
      <c r="E17" s="832"/>
      <c r="F17" s="832"/>
      <c r="G17" s="832"/>
      <c r="H17" s="832"/>
    </row>
    <row r="18" spans="1:8" ht="15.75" customHeight="1">
      <c r="A18" s="832"/>
      <c r="B18" s="832"/>
      <c r="C18" s="832"/>
      <c r="D18" s="832"/>
      <c r="E18" s="832"/>
      <c r="F18" s="832"/>
      <c r="G18" s="832"/>
      <c r="H18" s="832"/>
    </row>
    <row r="19" spans="1:8" ht="9" customHeight="1">
      <c r="A19" s="41"/>
      <c r="B19" s="53"/>
      <c r="C19" s="53"/>
      <c r="D19" s="53"/>
      <c r="E19" s="53"/>
      <c r="F19" s="53"/>
      <c r="G19" s="53"/>
      <c r="H19" s="54"/>
    </row>
    <row r="20" spans="1:8" ht="15.75" customHeight="1">
      <c r="A20" s="832" t="str">
        <f>CONCATENATE("Whereas, ",(inputPrYr!C2)," provides the essential services to protect the health, safety, and well being of the citizens of the county; and")</f>
        <v>Whereas, Lyon County provides the essential services to protect the health, safety, and well being of the citizens of the county; and</v>
      </c>
      <c r="B20" s="832"/>
      <c r="C20" s="832"/>
      <c r="D20" s="832"/>
      <c r="E20" s="832"/>
      <c r="F20" s="832"/>
      <c r="G20" s="832"/>
      <c r="H20" s="832"/>
    </row>
    <row r="21" spans="1:8" ht="15.75" customHeight="1">
      <c r="A21" s="832"/>
      <c r="B21" s="832"/>
      <c r="C21" s="832"/>
      <c r="D21" s="832"/>
      <c r="E21" s="832"/>
      <c r="F21" s="832"/>
      <c r="G21" s="832"/>
      <c r="H21" s="832"/>
    </row>
    <row r="22" spans="1:8" ht="9" customHeight="1">
      <c r="A22" s="44"/>
      <c r="B22" s="53"/>
      <c r="C22" s="53"/>
      <c r="D22" s="53"/>
      <c r="E22" s="53"/>
      <c r="F22" s="53"/>
      <c r="G22" s="53"/>
      <c r="H22" s="54"/>
    </row>
    <row r="23" spans="1:8" ht="15.75" customHeight="1">
      <c r="A23" s="44" t="s">
        <v>297</v>
      </c>
      <c r="B23" s="53"/>
      <c r="C23" s="53"/>
      <c r="D23" s="53"/>
      <c r="E23" s="53"/>
      <c r="F23" s="53"/>
      <c r="G23" s="53"/>
      <c r="H23" s="54"/>
    </row>
    <row r="24" spans="1:8" ht="9" customHeight="1">
      <c r="A24" s="41"/>
      <c r="B24" s="53"/>
      <c r="C24" s="53"/>
      <c r="D24" s="53"/>
      <c r="E24" s="53"/>
      <c r="F24" s="53"/>
      <c r="G24" s="53"/>
      <c r="H24" s="54"/>
    </row>
    <row r="25" spans="1:8" ht="15.75" customHeight="1">
      <c r="A25" s="832" t="str">
        <f>CONCATENATE("Whereas, the ",inputPrYr!C4-1," Kansas State Legislature failed to fulfill its obligations in regard to the statutory funding of demand transfers and, by significantly ", A28," ",(inputPrYr!C2),B28)</f>
        <v>Whereas, the 2013 Kansas State Legislature failed to fulfill its obligations in regard to the statutory funding of demand transfers and, by significantly limiting state revenue sharing payments to counties, has contributed to higher county property tax levies to finance the 2014 Lyon County budget.</v>
      </c>
      <c r="B25" s="832"/>
      <c r="C25" s="832"/>
      <c r="D25" s="832"/>
      <c r="E25" s="832"/>
      <c r="F25" s="832"/>
      <c r="G25" s="832"/>
      <c r="H25" s="832"/>
    </row>
    <row r="26" spans="1:8" ht="15.75" customHeight="1">
      <c r="A26" s="832"/>
      <c r="B26" s="832"/>
      <c r="C26" s="832"/>
      <c r="D26" s="832"/>
      <c r="E26" s="832"/>
      <c r="F26" s="832"/>
      <c r="G26" s="832"/>
      <c r="H26" s="832"/>
    </row>
    <row r="27" spans="1:8" ht="15.75" customHeight="1">
      <c r="A27" s="832"/>
      <c r="B27" s="832"/>
      <c r="C27" s="832"/>
      <c r="D27" s="832"/>
      <c r="E27" s="832"/>
      <c r="F27" s="832"/>
      <c r="G27" s="832"/>
      <c r="H27" s="832"/>
    </row>
    <row r="28" spans="1:8" ht="9" customHeight="1">
      <c r="A28" s="45" t="str">
        <f>CONCATENATE("limiting state revenue sharing payments to counties, has contributed to higher county property tax levies to finance the ",inputPrYr!C4,"")</f>
        <v>limiting state revenue sharing payments to counties, has contributed to higher county property tax levies to finance the 2014</v>
      </c>
      <c r="B28" s="56" t="s">
        <v>323</v>
      </c>
      <c r="C28" s="6"/>
      <c r="D28" s="6"/>
      <c r="E28" s="6"/>
      <c r="F28" s="6"/>
      <c r="G28" s="6"/>
      <c r="H28" s="57"/>
    </row>
    <row r="29" spans="1:8" ht="15.75" customHeight="1">
      <c r="A29" s="832" t="str">
        <f>CONCATENATE("NOW, THEREFORE, BE IT RESOLVED by the Board of ",(inputPrYr!C2)," Commissioners that is our desire to notify the public of the possibility of increased property taxes to finance the ",inputPrYr!C4," ",(inputPrYr!C2)," budget due to the above mentioned constraints, and that all persons are invited and encouraged to attend budget meeting conducted by the Board of ",(inputPrYr!C2)," Commissioners.  The date and time of budget hearings with the Board of ",(inputPrYr!C2), A38,)</f>
        <v xml:space="preserve">NOW, THEREFORE, BE IT RESOLVED by the Board of Lyon County Commissioners that is our desire to notify the public of the possibility of increased property taxes to finance the 2014 Lyon County budget due to the above mentioned constraints, and that all persons are invited and encouraged to attend budget meeting conducted by the Board of Lyon County Commissioners.  The date and time of budget hearings with the Board of Lyon County Commissioners will be published in the _________ (newspaper).   Interested persons can also address questions concerning the budget to __________ (office) _______ by calling ___________ between the hours of ________ a.m. to ________ p.m., Monday through Fridays, excluding holidays.  </v>
      </c>
      <c r="B29" s="832"/>
      <c r="C29" s="832"/>
      <c r="D29" s="832"/>
      <c r="E29" s="832"/>
      <c r="F29" s="832"/>
      <c r="G29" s="832"/>
      <c r="H29" s="832"/>
    </row>
    <row r="30" spans="1:8" ht="15.75" customHeight="1">
      <c r="A30" s="832"/>
      <c r="B30" s="832"/>
      <c r="C30" s="832"/>
      <c r="D30" s="832"/>
      <c r="E30" s="832"/>
      <c r="F30" s="832"/>
      <c r="G30" s="832"/>
      <c r="H30" s="832"/>
    </row>
    <row r="31" spans="1:8" ht="15.75" customHeight="1">
      <c r="A31" s="832"/>
      <c r="B31" s="832"/>
      <c r="C31" s="832"/>
      <c r="D31" s="832"/>
      <c r="E31" s="832"/>
      <c r="F31" s="832"/>
      <c r="G31" s="832"/>
      <c r="H31" s="832"/>
    </row>
    <row r="32" spans="1:8" ht="15.75" customHeight="1">
      <c r="A32" s="832"/>
      <c r="B32" s="832"/>
      <c r="C32" s="832"/>
      <c r="D32" s="832"/>
      <c r="E32" s="832"/>
      <c r="F32" s="832"/>
      <c r="G32" s="832"/>
      <c r="H32" s="832"/>
    </row>
    <row r="33" spans="1:8" ht="15.75" customHeight="1">
      <c r="A33" s="832"/>
      <c r="B33" s="832"/>
      <c r="C33" s="832"/>
      <c r="D33" s="832"/>
      <c r="E33" s="832"/>
      <c r="F33" s="832"/>
      <c r="G33" s="832"/>
      <c r="H33" s="832"/>
    </row>
    <row r="34" spans="1:8" ht="15.75" customHeight="1">
      <c r="A34" s="832"/>
      <c r="B34" s="832"/>
      <c r="C34" s="832"/>
      <c r="D34" s="832"/>
      <c r="E34" s="832"/>
      <c r="F34" s="832"/>
      <c r="G34" s="832"/>
      <c r="H34" s="832"/>
    </row>
    <row r="35" spans="1:8" ht="15.75" customHeight="1">
      <c r="A35" s="832"/>
      <c r="B35" s="832"/>
      <c r="C35" s="832"/>
      <c r="D35" s="832"/>
      <c r="E35" s="832"/>
      <c r="F35" s="832"/>
      <c r="G35" s="832"/>
      <c r="H35" s="832"/>
    </row>
    <row r="36" spans="1:8" ht="15.75" customHeight="1">
      <c r="A36" s="832"/>
      <c r="B36" s="832"/>
      <c r="C36" s="832"/>
      <c r="D36" s="832"/>
      <c r="E36" s="832"/>
      <c r="F36" s="832"/>
      <c r="G36" s="832"/>
      <c r="H36" s="832"/>
    </row>
    <row r="37" spans="1:8" ht="15.75" customHeight="1">
      <c r="A37" s="832"/>
      <c r="B37" s="832"/>
      <c r="C37" s="832"/>
      <c r="D37" s="832"/>
      <c r="E37" s="832"/>
      <c r="F37" s="832"/>
      <c r="G37" s="832"/>
      <c r="H37" s="832"/>
    </row>
    <row r="38" spans="1:8" ht="15.75" customHeight="1">
      <c r="A38" s="46" t="s">
        <v>331</v>
      </c>
      <c r="B38" s="6"/>
      <c r="C38" s="6"/>
      <c r="D38" s="6"/>
      <c r="E38" s="6"/>
      <c r="F38" s="6"/>
      <c r="G38" s="6"/>
      <c r="H38" s="57" t="s">
        <v>189</v>
      </c>
    </row>
    <row r="39" spans="1:8" ht="15.75" customHeight="1">
      <c r="A39" s="831" t="str">
        <f>CONCATENATE("                                                 Adopted this _________ day of ___________, ",inputPrYr!C4-1," by the Board of ",(inputPrYr!C2)," Commissioners.")</f>
        <v xml:space="preserve">                                                 Adopted this _________ day of ___________, 2013 by the Board of Lyon County Commissioners.</v>
      </c>
      <c r="B39" s="831"/>
      <c r="C39" s="831"/>
      <c r="D39" s="831"/>
      <c r="E39" s="831"/>
      <c r="F39" s="831"/>
      <c r="G39" s="831"/>
      <c r="H39" s="831"/>
    </row>
    <row r="40" spans="1:8" ht="15.75" customHeight="1">
      <c r="A40" s="831"/>
      <c r="B40" s="831"/>
      <c r="C40" s="831"/>
      <c r="D40" s="831"/>
      <c r="E40" s="831"/>
      <c r="F40" s="831"/>
      <c r="G40" s="831"/>
      <c r="H40" s="831"/>
    </row>
    <row r="41" spans="1:8" ht="15.75" customHeight="1">
      <c r="A41" s="6"/>
      <c r="B41" s="6"/>
      <c r="C41" s="6"/>
      <c r="D41" s="6"/>
      <c r="E41" s="833" t="s">
        <v>298</v>
      </c>
      <c r="F41" s="833"/>
      <c r="G41" s="833"/>
      <c r="H41" s="833"/>
    </row>
    <row r="42" spans="1:8" ht="15.75" customHeight="1">
      <c r="A42" s="47"/>
      <c r="B42" s="6"/>
      <c r="C42" s="6"/>
      <c r="D42" s="6"/>
      <c r="E42" s="833"/>
      <c r="F42" s="833"/>
      <c r="G42" s="833"/>
      <c r="H42" s="833"/>
    </row>
    <row r="43" spans="1:8" ht="15.75" customHeight="1">
      <c r="A43" s="6"/>
      <c r="B43" s="6"/>
      <c r="C43" s="6"/>
      <c r="D43" s="6"/>
      <c r="E43" s="833" t="s">
        <v>299</v>
      </c>
      <c r="F43" s="833"/>
      <c r="G43" s="833"/>
      <c r="H43" s="833"/>
    </row>
    <row r="44" spans="1:8" ht="15.75" customHeight="1">
      <c r="A44" s="47"/>
      <c r="B44" s="6"/>
      <c r="C44" s="6"/>
      <c r="D44" s="6"/>
      <c r="E44" s="833"/>
      <c r="F44" s="833"/>
      <c r="G44" s="833"/>
      <c r="H44" s="833"/>
    </row>
    <row r="45" spans="1:8" ht="15.75" customHeight="1">
      <c r="A45" s="6"/>
      <c r="B45" s="6"/>
      <c r="C45" s="6"/>
      <c r="D45" s="6"/>
      <c r="E45" s="833" t="s">
        <v>299</v>
      </c>
      <c r="F45" s="833"/>
      <c r="G45" s="833"/>
      <c r="H45" s="833"/>
    </row>
    <row r="46" spans="1:8" ht="15.75" customHeight="1">
      <c r="A46" s="47"/>
      <c r="B46" s="6"/>
      <c r="C46" s="6"/>
      <c r="D46" s="6"/>
      <c r="E46" s="833"/>
      <c r="F46" s="833"/>
      <c r="G46" s="833"/>
      <c r="H46" s="833"/>
    </row>
    <row r="47" spans="1:8" ht="15.75" customHeight="1">
      <c r="A47" s="6"/>
      <c r="B47" s="6"/>
      <c r="C47" s="6"/>
      <c r="D47" s="6"/>
      <c r="E47" s="833" t="s">
        <v>299</v>
      </c>
      <c r="F47" s="833"/>
      <c r="G47" s="833"/>
      <c r="H47" s="833"/>
    </row>
    <row r="48" spans="1:8" ht="15.75" customHeight="1">
      <c r="A48" s="47"/>
      <c r="B48" s="6"/>
      <c r="C48" s="6"/>
      <c r="D48" s="6"/>
      <c r="E48" s="6"/>
      <c r="F48" s="6"/>
      <c r="G48" s="6"/>
      <c r="H48" s="57"/>
    </row>
    <row r="49" spans="1:8" ht="15.75" customHeight="1">
      <c r="A49" s="47" t="s">
        <v>300</v>
      </c>
      <c r="B49" s="6"/>
      <c r="C49" s="6"/>
      <c r="D49" s="6"/>
      <c r="E49" s="6"/>
      <c r="F49" s="6"/>
      <c r="G49" s="6"/>
      <c r="H49" s="57"/>
    </row>
    <row r="50" spans="1:8" ht="15.75" customHeight="1">
      <c r="A50" s="47"/>
      <c r="B50" s="6"/>
      <c r="C50" s="6"/>
      <c r="D50" s="6"/>
      <c r="E50" s="6"/>
      <c r="F50" s="6"/>
      <c r="G50" s="47"/>
      <c r="H50" s="57"/>
    </row>
    <row r="51" spans="1:8" ht="15.75" customHeight="1">
      <c r="A51" s="48" t="s">
        <v>301</v>
      </c>
      <c r="B51" s="2"/>
      <c r="C51" s="2"/>
      <c r="D51" s="2"/>
      <c r="E51" s="2"/>
      <c r="F51" s="2"/>
      <c r="G51" s="47"/>
      <c r="H51" s="57"/>
    </row>
    <row r="52" spans="1:8" ht="15.75" customHeight="1">
      <c r="A52" s="833" t="s">
        <v>302</v>
      </c>
      <c r="B52" s="833"/>
      <c r="C52" s="833"/>
      <c r="D52" s="2"/>
      <c r="E52" s="2"/>
      <c r="F52" s="2"/>
      <c r="G52" s="47"/>
      <c r="H52" s="57"/>
    </row>
    <row r="53" spans="1:8" ht="15.75" customHeight="1">
      <c r="A53" s="48"/>
      <c r="B53" s="2"/>
      <c r="C53" s="2"/>
      <c r="D53" s="2"/>
      <c r="E53" s="2"/>
      <c r="F53" s="2"/>
      <c r="G53" s="47"/>
      <c r="H53" s="57"/>
    </row>
    <row r="54" spans="1:8" ht="15.75" customHeight="1">
      <c r="A54" s="48"/>
      <c r="B54" s="2"/>
      <c r="C54" s="2"/>
      <c r="D54" s="2"/>
      <c r="E54" s="2"/>
      <c r="F54" s="2"/>
      <c r="G54" s="47"/>
      <c r="H54" s="57"/>
    </row>
    <row r="55" spans="1:8" ht="15.75" customHeight="1">
      <c r="A55" s="49" t="s">
        <v>303</v>
      </c>
      <c r="B55" s="2"/>
      <c r="C55" s="2"/>
      <c r="D55" s="59" t="s">
        <v>188</v>
      </c>
      <c r="E55" s="10"/>
      <c r="F55" s="2"/>
      <c r="G55" s="47"/>
      <c r="H55" s="57"/>
    </row>
    <row r="56" spans="1:8" ht="15" customHeight="1">
      <c r="A56" s="57"/>
      <c r="B56" s="57"/>
      <c r="C56" s="57"/>
      <c r="D56" s="57"/>
      <c r="E56" s="57"/>
      <c r="F56" s="57"/>
      <c r="G56" s="57"/>
      <c r="H56" s="57"/>
    </row>
    <row r="57" spans="1:8" ht="15" customHeight="1">
      <c r="A57" s="57"/>
      <c r="B57" s="57"/>
      <c r="C57" s="57"/>
      <c r="D57" s="57"/>
      <c r="E57" s="57"/>
      <c r="F57" s="57"/>
      <c r="G57" s="57"/>
      <c r="H57" s="57"/>
    </row>
    <row r="58" spans="1:8" ht="15" customHeight="1"/>
    <row r="59" spans="1:8" ht="15" customHeight="1"/>
    <row r="60" spans="1:8" ht="15" customHeight="1"/>
    <row r="61" spans="1:8" ht="15" customHeight="1"/>
    <row r="62" spans="1:8" ht="15" customHeight="1"/>
    <row r="63" spans="1:8" ht="15" customHeight="1"/>
    <row r="64" spans="1:8" ht="15" customHeight="1"/>
    <row r="65" ht="15" customHeight="1"/>
    <row r="66" ht="15" customHeight="1"/>
    <row r="67" ht="15" customHeight="1"/>
    <row r="68" ht="15" customHeight="1"/>
    <row r="69" ht="15" customHeight="1"/>
    <row r="70" ht="15" customHeight="1"/>
    <row r="71" ht="15" customHeight="1"/>
    <row r="72" ht="15" customHeight="1"/>
  </sheetData>
  <sheetProtection sheet="1"/>
  <mergeCells count="16">
    <mergeCell ref="E45:H45"/>
    <mergeCell ref="E46:H46"/>
    <mergeCell ref="E47:H47"/>
    <mergeCell ref="A52:C52"/>
    <mergeCell ref="E41:H41"/>
    <mergeCell ref="E42:H42"/>
    <mergeCell ref="E43:H43"/>
    <mergeCell ref="E44:H44"/>
    <mergeCell ref="A2:H2"/>
    <mergeCell ref="A4:H4"/>
    <mergeCell ref="A39:H40"/>
    <mergeCell ref="A10:H15"/>
    <mergeCell ref="A29:H37"/>
    <mergeCell ref="A17:H18"/>
    <mergeCell ref="A20:H21"/>
    <mergeCell ref="A25:H27"/>
  </mergeCells>
  <phoneticPr fontId="10" type="noConversion"/>
  <pageMargins left="0.37" right="0.27" top="0.5" bottom="0.39" header="0.5" footer="0.5"/>
  <pageSetup scale="90" orientation="portrait" r:id="rId1"/>
  <headerFooter alignWithMargins="0"/>
</worksheet>
</file>

<file path=xl/worksheets/sheet46.xml><?xml version="1.0" encoding="utf-8"?>
<worksheet xmlns="http://schemas.openxmlformats.org/spreadsheetml/2006/main" xmlns:r="http://schemas.openxmlformats.org/officeDocument/2006/relationships">
  <sheetPr>
    <tabColor rgb="FFFF0000"/>
  </sheetPr>
  <dimension ref="A3:L85"/>
  <sheetViews>
    <sheetView workbookViewId="0">
      <selection activeCell="A2" sqref="A2"/>
    </sheetView>
  </sheetViews>
  <sheetFormatPr defaultRowHeight="15"/>
  <cols>
    <col min="1" max="1" width="71.33203125" customWidth="1"/>
  </cols>
  <sheetData>
    <row r="3" spans="1:12">
      <c r="A3" s="431" t="s">
        <v>425</v>
      </c>
      <c r="B3" s="431"/>
      <c r="C3" s="431"/>
      <c r="D3" s="431"/>
      <c r="E3" s="431"/>
      <c r="F3" s="431"/>
      <c r="G3" s="431"/>
      <c r="H3" s="431"/>
      <c r="I3" s="431"/>
      <c r="J3" s="431"/>
      <c r="K3" s="431"/>
      <c r="L3" s="431"/>
    </row>
    <row r="5" spans="1:12">
      <c r="A5" s="432" t="s">
        <v>426</v>
      </c>
    </row>
    <row r="6" spans="1:12">
      <c r="A6" s="432" t="str">
        <f>CONCATENATE(inputPrYr!C4-2," 'total expenditures' exceed your ",inputPrYr!C4-2," 'budget authority.'")</f>
        <v>2012 'total expenditures' exceed your 2012 'budget authority.'</v>
      </c>
    </row>
    <row r="7" spans="1:12">
      <c r="A7" s="432"/>
    </row>
    <row r="8" spans="1:12">
      <c r="A8" s="432" t="s">
        <v>427</v>
      </c>
    </row>
    <row r="9" spans="1:12">
      <c r="A9" s="432" t="s">
        <v>428</v>
      </c>
    </row>
    <row r="10" spans="1:12">
      <c r="A10" s="432" t="s">
        <v>429</v>
      </c>
    </row>
    <row r="11" spans="1:12">
      <c r="A11" s="432"/>
    </row>
    <row r="12" spans="1:12">
      <c r="A12" s="432"/>
    </row>
    <row r="13" spans="1:12">
      <c r="A13" s="433" t="s">
        <v>430</v>
      </c>
    </row>
    <row r="15" spans="1:12">
      <c r="A15" s="432" t="s">
        <v>431</v>
      </c>
    </row>
    <row r="16" spans="1:12">
      <c r="A16" s="432" t="str">
        <f>CONCATENATE("(i.e. an audit has not been completed, or the ",inputPrYr!C4," adopted")</f>
        <v>(i.e. an audit has not been completed, or the 2014 adopted</v>
      </c>
    </row>
    <row r="17" spans="1:1">
      <c r="A17" s="432" t="s">
        <v>432</v>
      </c>
    </row>
    <row r="18" spans="1:1">
      <c r="A18" s="432" t="s">
        <v>433</v>
      </c>
    </row>
    <row r="19" spans="1:1">
      <c r="A19" s="432" t="s">
        <v>434</v>
      </c>
    </row>
    <row r="21" spans="1:1">
      <c r="A21" s="433" t="s">
        <v>435</v>
      </c>
    </row>
    <row r="22" spans="1:1">
      <c r="A22" s="433"/>
    </row>
    <row r="23" spans="1:1">
      <c r="A23" s="432" t="s">
        <v>436</v>
      </c>
    </row>
    <row r="24" spans="1:1">
      <c r="A24" s="432" t="s">
        <v>437</v>
      </c>
    </row>
    <row r="25" spans="1:1">
      <c r="A25" s="432" t="str">
        <f>CONCATENATE("particular fund.  If your ",inputPrYr!C4-2," budget was amended, did you")</f>
        <v>particular fund.  If your 2012 budget was amended, did you</v>
      </c>
    </row>
    <row r="26" spans="1:1">
      <c r="A26" s="432" t="s">
        <v>438</v>
      </c>
    </row>
    <row r="27" spans="1:1">
      <c r="A27" s="432"/>
    </row>
    <row r="28" spans="1:1">
      <c r="A28" s="432" t="str">
        <f>CONCATENATE("Next, look to see if any of your ",inputPrYr!C4-2," expenditures can be")</f>
        <v>Next, look to see if any of your 2012 expenditures can be</v>
      </c>
    </row>
    <row r="29" spans="1:1">
      <c r="A29" s="432" t="s">
        <v>439</v>
      </c>
    </row>
    <row r="30" spans="1:1">
      <c r="A30" s="432" t="s">
        <v>440</v>
      </c>
    </row>
    <row r="31" spans="1:1">
      <c r="A31" s="432" t="s">
        <v>441</v>
      </c>
    </row>
    <row r="32" spans="1:1">
      <c r="A32" s="432"/>
    </row>
    <row r="33" spans="1:1">
      <c r="A33" s="432" t="str">
        <f>CONCATENATE("Additionally, do your ",inputPrYr!C4-2," receipts contain a reimbursement")</f>
        <v>Additionally, do your 2012 receipts contain a reimbursement</v>
      </c>
    </row>
    <row r="34" spans="1:1">
      <c r="A34" s="432" t="s">
        <v>442</v>
      </c>
    </row>
    <row r="35" spans="1:1">
      <c r="A35" s="432" t="s">
        <v>443</v>
      </c>
    </row>
    <row r="36" spans="1:1">
      <c r="A36" s="432"/>
    </row>
    <row r="37" spans="1:1">
      <c r="A37" s="432" t="s">
        <v>444</v>
      </c>
    </row>
    <row r="38" spans="1:1">
      <c r="A38" s="432" t="s">
        <v>445</v>
      </c>
    </row>
    <row r="39" spans="1:1">
      <c r="A39" s="432" t="s">
        <v>446</v>
      </c>
    </row>
    <row r="40" spans="1:1">
      <c r="A40" s="432" t="s">
        <v>447</v>
      </c>
    </row>
    <row r="41" spans="1:1">
      <c r="A41" s="432" t="s">
        <v>448</v>
      </c>
    </row>
    <row r="42" spans="1:1">
      <c r="A42" s="432" t="s">
        <v>449</v>
      </c>
    </row>
    <row r="43" spans="1:1">
      <c r="A43" s="432" t="s">
        <v>450</v>
      </c>
    </row>
    <row r="44" spans="1:1">
      <c r="A44" s="432" t="s">
        <v>451</v>
      </c>
    </row>
    <row r="45" spans="1:1">
      <c r="A45" s="432"/>
    </row>
    <row r="46" spans="1:1">
      <c r="A46" s="432" t="s">
        <v>452</v>
      </c>
    </row>
    <row r="47" spans="1:1">
      <c r="A47" s="432" t="s">
        <v>453</v>
      </c>
    </row>
    <row r="48" spans="1:1">
      <c r="A48" s="432" t="s">
        <v>454</v>
      </c>
    </row>
    <row r="49" spans="1:1">
      <c r="A49" s="432"/>
    </row>
    <row r="50" spans="1:1">
      <c r="A50" s="432" t="s">
        <v>455</v>
      </c>
    </row>
    <row r="51" spans="1:1">
      <c r="A51" s="432" t="s">
        <v>456</v>
      </c>
    </row>
    <row r="52" spans="1:1">
      <c r="A52" s="432" t="s">
        <v>457</v>
      </c>
    </row>
    <row r="53" spans="1:1">
      <c r="A53" s="432"/>
    </row>
    <row r="54" spans="1:1">
      <c r="A54" s="433" t="s">
        <v>458</v>
      </c>
    </row>
    <row r="55" spans="1:1">
      <c r="A55" s="432"/>
    </row>
    <row r="56" spans="1:1">
      <c r="A56" s="432" t="s">
        <v>459</v>
      </c>
    </row>
    <row r="57" spans="1:1">
      <c r="A57" s="432" t="s">
        <v>460</v>
      </c>
    </row>
    <row r="58" spans="1:1">
      <c r="A58" s="432" t="s">
        <v>461</v>
      </c>
    </row>
    <row r="59" spans="1:1">
      <c r="A59" s="432" t="s">
        <v>462</v>
      </c>
    </row>
    <row r="60" spans="1:1">
      <c r="A60" s="432" t="s">
        <v>463</v>
      </c>
    </row>
    <row r="61" spans="1:1">
      <c r="A61" s="432" t="s">
        <v>464</v>
      </c>
    </row>
    <row r="62" spans="1:1">
      <c r="A62" s="432" t="s">
        <v>465</v>
      </c>
    </row>
    <row r="63" spans="1:1">
      <c r="A63" s="432" t="s">
        <v>466</v>
      </c>
    </row>
    <row r="64" spans="1:1">
      <c r="A64" s="432" t="s">
        <v>467</v>
      </c>
    </row>
    <row r="65" spans="1:1">
      <c r="A65" s="432" t="s">
        <v>468</v>
      </c>
    </row>
    <row r="66" spans="1:1">
      <c r="A66" s="432" t="s">
        <v>469</v>
      </c>
    </row>
    <row r="67" spans="1:1">
      <c r="A67" s="432" t="s">
        <v>470</v>
      </c>
    </row>
    <row r="68" spans="1:1">
      <c r="A68" s="432" t="s">
        <v>471</v>
      </c>
    </row>
    <row r="69" spans="1:1">
      <c r="A69" s="432"/>
    </row>
    <row r="70" spans="1:1">
      <c r="A70" s="432" t="s">
        <v>472</v>
      </c>
    </row>
    <row r="71" spans="1:1">
      <c r="A71" s="432" t="s">
        <v>473</v>
      </c>
    </row>
    <row r="72" spans="1:1">
      <c r="A72" s="432" t="s">
        <v>474</v>
      </c>
    </row>
    <row r="73" spans="1:1">
      <c r="A73" s="432"/>
    </row>
    <row r="74" spans="1:1">
      <c r="A74" s="433" t="str">
        <f>CONCATENATE("What if the ",inputPrYr!C4-2," financial records have been closed?")</f>
        <v>What if the 2012 financial records have been closed?</v>
      </c>
    </row>
    <row r="76" spans="1:1">
      <c r="A76" s="432" t="s">
        <v>475</v>
      </c>
    </row>
    <row r="77" spans="1:1">
      <c r="A77" s="432" t="str">
        <f>CONCATENATE("(i.e. an audit for ",inputPrYr!C4-2," has been completed, or the ",inputPrYr!C4)</f>
        <v>(i.e. an audit for 2012 has been completed, or the 2014</v>
      </c>
    </row>
    <row r="78" spans="1:1">
      <c r="A78" s="432" t="s">
        <v>476</v>
      </c>
    </row>
    <row r="79" spans="1:1">
      <c r="A79" s="432" t="s">
        <v>477</v>
      </c>
    </row>
    <row r="80" spans="1:1">
      <c r="A80" s="432"/>
    </row>
    <row r="81" spans="1:1">
      <c r="A81" s="432" t="s">
        <v>478</v>
      </c>
    </row>
    <row r="82" spans="1:1">
      <c r="A82" s="432" t="s">
        <v>479</v>
      </c>
    </row>
    <row r="83" spans="1:1">
      <c r="A83" s="432" t="s">
        <v>480</v>
      </c>
    </row>
    <row r="84" spans="1:1">
      <c r="A84" s="432"/>
    </row>
    <row r="85" spans="1:1">
      <c r="A85" s="432" t="s">
        <v>481</v>
      </c>
    </row>
  </sheetData>
  <sheetProtection sheet="1"/>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sheetPr>
    <tabColor rgb="FFFF0000"/>
  </sheetPr>
  <dimension ref="A3:J109"/>
  <sheetViews>
    <sheetView workbookViewId="0">
      <selection activeCell="A2" sqref="A2"/>
    </sheetView>
  </sheetViews>
  <sheetFormatPr defaultRowHeight="15"/>
  <cols>
    <col min="1" max="1" width="71.33203125" customWidth="1"/>
  </cols>
  <sheetData>
    <row r="3" spans="1:10">
      <c r="A3" s="431" t="s">
        <v>482</v>
      </c>
      <c r="B3" s="431"/>
      <c r="C3" s="431"/>
      <c r="D3" s="431"/>
      <c r="E3" s="431"/>
      <c r="F3" s="431"/>
      <c r="G3" s="431"/>
      <c r="H3" s="434"/>
      <c r="I3" s="434"/>
      <c r="J3" s="434"/>
    </row>
    <row r="5" spans="1:10">
      <c r="A5" s="432" t="s">
        <v>483</v>
      </c>
    </row>
    <row r="6" spans="1:10">
      <c r="A6" t="str">
        <f>CONCATENATE(inputPrYr!C4-2," expenditures show that you finished the year with a ")</f>
        <v xml:space="preserve">2012 expenditures show that you finished the year with a </v>
      </c>
    </row>
    <row r="7" spans="1:10">
      <c r="A7" t="s">
        <v>484</v>
      </c>
    </row>
    <row r="9" spans="1:10">
      <c r="A9" t="s">
        <v>485</v>
      </c>
    </row>
    <row r="10" spans="1:10">
      <c r="A10" t="s">
        <v>486</v>
      </c>
    </row>
    <row r="11" spans="1:10">
      <c r="A11" t="s">
        <v>487</v>
      </c>
    </row>
    <row r="13" spans="1:10">
      <c r="A13" s="433" t="s">
        <v>488</v>
      </c>
    </row>
    <row r="14" spans="1:10">
      <c r="A14" s="433"/>
    </row>
    <row r="15" spans="1:10">
      <c r="A15" s="432" t="s">
        <v>489</v>
      </c>
    </row>
    <row r="16" spans="1:10">
      <c r="A16" s="432" t="s">
        <v>490</v>
      </c>
    </row>
    <row r="17" spans="1:1">
      <c r="A17" s="432" t="s">
        <v>491</v>
      </c>
    </row>
    <row r="18" spans="1:1">
      <c r="A18" s="432"/>
    </row>
    <row r="19" spans="1:1">
      <c r="A19" s="433" t="s">
        <v>492</v>
      </c>
    </row>
    <row r="20" spans="1:1">
      <c r="A20" s="433"/>
    </row>
    <row r="21" spans="1:1">
      <c r="A21" s="432" t="s">
        <v>493</v>
      </c>
    </row>
    <row r="22" spans="1:1">
      <c r="A22" s="432" t="s">
        <v>494</v>
      </c>
    </row>
    <row r="23" spans="1:1">
      <c r="A23" s="432" t="s">
        <v>495</v>
      </c>
    </row>
    <row r="24" spans="1:1">
      <c r="A24" s="432"/>
    </row>
    <row r="25" spans="1:1">
      <c r="A25" s="433" t="s">
        <v>496</v>
      </c>
    </row>
    <row r="26" spans="1:1">
      <c r="A26" s="433"/>
    </row>
    <row r="27" spans="1:1">
      <c r="A27" s="432" t="s">
        <v>497</v>
      </c>
    </row>
    <row r="28" spans="1:1">
      <c r="A28" s="432" t="s">
        <v>498</v>
      </c>
    </row>
    <row r="29" spans="1:1">
      <c r="A29" s="432" t="s">
        <v>499</v>
      </c>
    </row>
    <row r="30" spans="1:1">
      <c r="A30" s="432"/>
    </row>
    <row r="31" spans="1:1">
      <c r="A31" s="433" t="s">
        <v>500</v>
      </c>
    </row>
    <row r="32" spans="1:1">
      <c r="A32" s="433"/>
    </row>
    <row r="33" spans="1:8">
      <c r="A33" s="432" t="str">
        <f>CONCATENATE("If your financial records for ",inputPrYr!C4-2," are not closed")</f>
        <v>If your financial records for 2012 are not closed</v>
      </c>
      <c r="B33" s="432"/>
      <c r="C33" s="432"/>
      <c r="D33" s="432"/>
      <c r="E33" s="432"/>
      <c r="F33" s="432"/>
      <c r="G33" s="432"/>
      <c r="H33" s="432"/>
    </row>
    <row r="34" spans="1:8">
      <c r="A34" s="432" t="str">
        <f>CONCATENATE("(i.e. an audit has not been completed, or the ",inputPrYr!C4," adopted ")</f>
        <v xml:space="preserve">(i.e. an audit has not been completed, or the 2014 adopted </v>
      </c>
      <c r="B34" s="432"/>
      <c r="C34" s="432"/>
      <c r="D34" s="432"/>
      <c r="E34" s="432"/>
      <c r="F34" s="432"/>
      <c r="G34" s="432"/>
      <c r="H34" s="432"/>
    </row>
    <row r="35" spans="1:8">
      <c r="A35" s="432" t="s">
        <v>501</v>
      </c>
      <c r="B35" s="432"/>
      <c r="C35" s="432"/>
      <c r="D35" s="432"/>
      <c r="E35" s="432"/>
      <c r="F35" s="432"/>
      <c r="G35" s="432"/>
      <c r="H35" s="432"/>
    </row>
    <row r="36" spans="1:8">
      <c r="A36" s="432" t="s">
        <v>502</v>
      </c>
      <c r="B36" s="432"/>
      <c r="C36" s="432"/>
      <c r="D36" s="432"/>
      <c r="E36" s="432"/>
      <c r="F36" s="432"/>
      <c r="G36" s="432"/>
      <c r="H36" s="432"/>
    </row>
    <row r="37" spans="1:8">
      <c r="A37" s="432" t="s">
        <v>503</v>
      </c>
      <c r="B37" s="432"/>
      <c r="C37" s="432"/>
      <c r="D37" s="432"/>
      <c r="E37" s="432"/>
      <c r="F37" s="432"/>
      <c r="G37" s="432"/>
      <c r="H37" s="432"/>
    </row>
    <row r="38" spans="1:8">
      <c r="A38" s="432" t="s">
        <v>504</v>
      </c>
      <c r="B38" s="432"/>
      <c r="C38" s="432"/>
      <c r="D38" s="432"/>
      <c r="E38" s="432"/>
      <c r="F38" s="432"/>
      <c r="G38" s="432"/>
      <c r="H38" s="432"/>
    </row>
    <row r="39" spans="1:8">
      <c r="A39" s="432" t="s">
        <v>505</v>
      </c>
      <c r="B39" s="432"/>
      <c r="C39" s="432"/>
      <c r="D39" s="432"/>
      <c r="E39" s="432"/>
      <c r="F39" s="432"/>
      <c r="G39" s="432"/>
      <c r="H39" s="432"/>
    </row>
    <row r="40" spans="1:8">
      <c r="A40" s="432"/>
      <c r="B40" s="432"/>
      <c r="C40" s="432"/>
      <c r="D40" s="432"/>
      <c r="E40" s="432"/>
      <c r="F40" s="432"/>
      <c r="G40" s="432"/>
      <c r="H40" s="432"/>
    </row>
    <row r="41" spans="1:8">
      <c r="A41" s="432" t="s">
        <v>506</v>
      </c>
      <c r="B41" s="432"/>
      <c r="C41" s="432"/>
      <c r="D41" s="432"/>
      <c r="E41" s="432"/>
      <c r="F41" s="432"/>
      <c r="G41" s="432"/>
      <c r="H41" s="432"/>
    </row>
    <row r="42" spans="1:8">
      <c r="A42" s="432" t="s">
        <v>507</v>
      </c>
      <c r="B42" s="432"/>
      <c r="C42" s="432"/>
      <c r="D42" s="432"/>
      <c r="E42" s="432"/>
      <c r="F42" s="432"/>
      <c r="G42" s="432"/>
      <c r="H42" s="432"/>
    </row>
    <row r="43" spans="1:8">
      <c r="A43" s="432" t="s">
        <v>508</v>
      </c>
      <c r="B43" s="432"/>
      <c r="C43" s="432"/>
      <c r="D43" s="432"/>
      <c r="E43" s="432"/>
      <c r="F43" s="432"/>
      <c r="G43" s="432"/>
      <c r="H43" s="432"/>
    </row>
    <row r="44" spans="1:8">
      <c r="A44" s="432" t="s">
        <v>509</v>
      </c>
      <c r="B44" s="432"/>
      <c r="C44" s="432"/>
      <c r="D44" s="432"/>
      <c r="E44" s="432"/>
      <c r="F44" s="432"/>
      <c r="G44" s="432"/>
      <c r="H44" s="432"/>
    </row>
    <row r="45" spans="1:8">
      <c r="A45" s="432"/>
      <c r="B45" s="432"/>
      <c r="C45" s="432"/>
      <c r="D45" s="432"/>
      <c r="E45" s="432"/>
      <c r="F45" s="432"/>
      <c r="G45" s="432"/>
      <c r="H45" s="432"/>
    </row>
    <row r="46" spans="1:8">
      <c r="A46" s="432" t="s">
        <v>510</v>
      </c>
      <c r="B46" s="432"/>
      <c r="C46" s="432"/>
      <c r="D46" s="432"/>
      <c r="E46" s="432"/>
      <c r="F46" s="432"/>
      <c r="G46" s="432"/>
      <c r="H46" s="432"/>
    </row>
    <row r="47" spans="1:8">
      <c r="A47" s="432" t="s">
        <v>511</v>
      </c>
      <c r="B47" s="432"/>
      <c r="C47" s="432"/>
      <c r="D47" s="432"/>
      <c r="E47" s="432"/>
      <c r="F47" s="432"/>
      <c r="G47" s="432"/>
      <c r="H47" s="432"/>
    </row>
    <row r="48" spans="1:8">
      <c r="A48" s="432" t="s">
        <v>512</v>
      </c>
      <c r="B48" s="432"/>
      <c r="C48" s="432"/>
      <c r="D48" s="432"/>
      <c r="E48" s="432"/>
      <c r="F48" s="432"/>
      <c r="G48" s="432"/>
      <c r="H48" s="432"/>
    </row>
    <row r="49" spans="1:8">
      <c r="A49" s="432" t="s">
        <v>513</v>
      </c>
      <c r="B49" s="432"/>
      <c r="C49" s="432"/>
      <c r="D49" s="432"/>
      <c r="E49" s="432"/>
      <c r="F49" s="432"/>
      <c r="G49" s="432"/>
      <c r="H49" s="432"/>
    </row>
    <row r="50" spans="1:8">
      <c r="A50" s="432" t="s">
        <v>514</v>
      </c>
      <c r="B50" s="432"/>
      <c r="C50" s="432"/>
      <c r="D50" s="432"/>
      <c r="E50" s="432"/>
      <c r="F50" s="432"/>
      <c r="G50" s="432"/>
      <c r="H50" s="432"/>
    </row>
    <row r="51" spans="1:8">
      <c r="A51" s="432"/>
      <c r="B51" s="432"/>
      <c r="C51" s="432"/>
      <c r="D51" s="432"/>
      <c r="E51" s="432"/>
      <c r="F51" s="432"/>
      <c r="G51" s="432"/>
      <c r="H51" s="432"/>
    </row>
    <row r="52" spans="1:8">
      <c r="A52" s="433" t="s">
        <v>515</v>
      </c>
      <c r="B52" s="433"/>
      <c r="C52" s="433"/>
      <c r="D52" s="433"/>
      <c r="E52" s="433"/>
      <c r="F52" s="433"/>
      <c r="G52" s="433"/>
      <c r="H52" s="432"/>
    </row>
    <row r="53" spans="1:8">
      <c r="A53" s="433" t="s">
        <v>516</v>
      </c>
      <c r="B53" s="433"/>
      <c r="C53" s="433"/>
      <c r="D53" s="433"/>
      <c r="E53" s="433"/>
      <c r="F53" s="433"/>
      <c r="G53" s="433"/>
      <c r="H53" s="432"/>
    </row>
    <row r="54" spans="1:8">
      <c r="A54" s="432"/>
      <c r="B54" s="432"/>
      <c r="C54" s="432"/>
      <c r="D54" s="432"/>
      <c r="E54" s="432"/>
      <c r="F54" s="432"/>
      <c r="G54" s="432"/>
      <c r="H54" s="432"/>
    </row>
    <row r="55" spans="1:8">
      <c r="A55" s="432" t="s">
        <v>517</v>
      </c>
      <c r="B55" s="432"/>
      <c r="C55" s="432"/>
      <c r="D55" s="432"/>
      <c r="E55" s="432"/>
      <c r="F55" s="432"/>
      <c r="G55" s="432"/>
      <c r="H55" s="432"/>
    </row>
    <row r="56" spans="1:8">
      <c r="A56" s="432" t="s">
        <v>518</v>
      </c>
      <c r="B56" s="432"/>
      <c r="C56" s="432"/>
      <c r="D56" s="432"/>
      <c r="E56" s="432"/>
      <c r="F56" s="432"/>
      <c r="G56" s="432"/>
      <c r="H56" s="432"/>
    </row>
    <row r="57" spans="1:8">
      <c r="A57" s="432" t="s">
        <v>519</v>
      </c>
      <c r="B57" s="432"/>
      <c r="C57" s="432"/>
      <c r="D57" s="432"/>
      <c r="E57" s="432"/>
      <c r="F57" s="432"/>
      <c r="G57" s="432"/>
      <c r="H57" s="432"/>
    </row>
    <row r="58" spans="1:8">
      <c r="A58" s="432" t="s">
        <v>520</v>
      </c>
      <c r="B58" s="432"/>
      <c r="C58" s="432"/>
      <c r="D58" s="432"/>
      <c r="E58" s="432"/>
      <c r="F58" s="432"/>
      <c r="G58" s="432"/>
      <c r="H58" s="432"/>
    </row>
    <row r="59" spans="1:8">
      <c r="A59" s="432"/>
      <c r="B59" s="432"/>
      <c r="C59" s="432"/>
      <c r="D59" s="432"/>
      <c r="E59" s="432"/>
      <c r="F59" s="432"/>
      <c r="G59" s="432"/>
      <c r="H59" s="432"/>
    </row>
    <row r="60" spans="1:8">
      <c r="A60" s="432" t="s">
        <v>521</v>
      </c>
      <c r="B60" s="432"/>
      <c r="C60" s="432"/>
      <c r="D60" s="432"/>
      <c r="E60" s="432"/>
      <c r="F60" s="432"/>
      <c r="G60" s="432"/>
      <c r="H60" s="432"/>
    </row>
    <row r="61" spans="1:8">
      <c r="A61" s="432" t="s">
        <v>522</v>
      </c>
      <c r="B61" s="432"/>
      <c r="C61" s="432"/>
      <c r="D61" s="432"/>
      <c r="E61" s="432"/>
      <c r="F61" s="432"/>
      <c r="G61" s="432"/>
      <c r="H61" s="432"/>
    </row>
    <row r="62" spans="1:8">
      <c r="A62" s="432" t="s">
        <v>523</v>
      </c>
      <c r="B62" s="432"/>
      <c r="C62" s="432"/>
      <c r="D62" s="432"/>
      <c r="E62" s="432"/>
      <c r="F62" s="432"/>
      <c r="G62" s="432"/>
      <c r="H62" s="432"/>
    </row>
    <row r="63" spans="1:8">
      <c r="A63" s="432" t="s">
        <v>524</v>
      </c>
      <c r="B63" s="432"/>
      <c r="C63" s="432"/>
      <c r="D63" s="432"/>
      <c r="E63" s="432"/>
      <c r="F63" s="432"/>
      <c r="G63" s="432"/>
      <c r="H63" s="432"/>
    </row>
    <row r="64" spans="1:8">
      <c r="A64" s="432" t="s">
        <v>525</v>
      </c>
      <c r="B64" s="432"/>
      <c r="C64" s="432"/>
      <c r="D64" s="432"/>
      <c r="E64" s="432"/>
      <c r="F64" s="432"/>
      <c r="G64" s="432"/>
      <c r="H64" s="432"/>
    </row>
    <row r="65" spans="1:8">
      <c r="A65" s="432" t="s">
        <v>526</v>
      </c>
      <c r="B65" s="432"/>
      <c r="C65" s="432"/>
      <c r="D65" s="432"/>
      <c r="E65" s="432"/>
      <c r="F65" s="432"/>
      <c r="G65" s="432"/>
      <c r="H65" s="432"/>
    </row>
    <row r="66" spans="1:8">
      <c r="A66" s="432"/>
      <c r="B66" s="432"/>
      <c r="C66" s="432"/>
      <c r="D66" s="432"/>
      <c r="E66" s="432"/>
      <c r="F66" s="432"/>
      <c r="G66" s="432"/>
      <c r="H66" s="432"/>
    </row>
    <row r="67" spans="1:8">
      <c r="A67" s="432" t="s">
        <v>527</v>
      </c>
      <c r="B67" s="432"/>
      <c r="C67" s="432"/>
      <c r="D67" s="432"/>
      <c r="E67" s="432"/>
      <c r="F67" s="432"/>
      <c r="G67" s="432"/>
      <c r="H67" s="432"/>
    </row>
    <row r="68" spans="1:8">
      <c r="A68" s="432" t="s">
        <v>528</v>
      </c>
      <c r="B68" s="432"/>
      <c r="C68" s="432"/>
      <c r="D68" s="432"/>
      <c r="E68" s="432"/>
      <c r="F68" s="432"/>
      <c r="G68" s="432"/>
      <c r="H68" s="432"/>
    </row>
    <row r="69" spans="1:8">
      <c r="A69" s="432" t="s">
        <v>529</v>
      </c>
      <c r="B69" s="432"/>
      <c r="C69" s="432"/>
      <c r="D69" s="432"/>
      <c r="E69" s="432"/>
      <c r="F69" s="432"/>
      <c r="G69" s="432"/>
      <c r="H69" s="432"/>
    </row>
    <row r="70" spans="1:8">
      <c r="A70" s="432" t="s">
        <v>530</v>
      </c>
      <c r="B70" s="432"/>
      <c r="C70" s="432"/>
      <c r="D70" s="432"/>
      <c r="E70" s="432"/>
      <c r="F70" s="432"/>
      <c r="G70" s="432"/>
      <c r="H70" s="432"/>
    </row>
    <row r="71" spans="1:8">
      <c r="A71" s="432" t="s">
        <v>531</v>
      </c>
      <c r="B71" s="432"/>
      <c r="C71" s="432"/>
      <c r="D71" s="432"/>
      <c r="E71" s="432"/>
      <c r="F71" s="432"/>
      <c r="G71" s="432"/>
      <c r="H71" s="432"/>
    </row>
    <row r="72" spans="1:8">
      <c r="A72" s="432" t="s">
        <v>532</v>
      </c>
      <c r="B72" s="432"/>
      <c r="C72" s="432"/>
      <c r="D72" s="432"/>
      <c r="E72" s="432"/>
      <c r="F72" s="432"/>
      <c r="G72" s="432"/>
      <c r="H72" s="432"/>
    </row>
    <row r="73" spans="1:8">
      <c r="A73" s="432" t="s">
        <v>533</v>
      </c>
      <c r="B73" s="432"/>
      <c r="C73" s="432"/>
      <c r="D73" s="432"/>
      <c r="E73" s="432"/>
      <c r="F73" s="432"/>
      <c r="G73" s="432"/>
      <c r="H73" s="432"/>
    </row>
    <row r="74" spans="1:8">
      <c r="A74" s="432"/>
      <c r="B74" s="432"/>
      <c r="C74" s="432"/>
      <c r="D74" s="432"/>
      <c r="E74" s="432"/>
      <c r="F74" s="432"/>
      <c r="G74" s="432"/>
      <c r="H74" s="432"/>
    </row>
    <row r="75" spans="1:8">
      <c r="A75" s="432" t="s">
        <v>534</v>
      </c>
      <c r="B75" s="432"/>
      <c r="C75" s="432"/>
      <c r="D75" s="432"/>
      <c r="E75" s="432"/>
      <c r="F75" s="432"/>
      <c r="G75" s="432"/>
      <c r="H75" s="432"/>
    </row>
    <row r="76" spans="1:8">
      <c r="A76" s="432" t="s">
        <v>535</v>
      </c>
      <c r="B76" s="432"/>
      <c r="C76" s="432"/>
      <c r="D76" s="432"/>
      <c r="E76" s="432"/>
      <c r="F76" s="432"/>
      <c r="G76" s="432"/>
      <c r="H76" s="432"/>
    </row>
    <row r="77" spans="1:8">
      <c r="A77" s="432" t="s">
        <v>536</v>
      </c>
      <c r="B77" s="432"/>
      <c r="C77" s="432"/>
      <c r="D77" s="432"/>
      <c r="E77" s="432"/>
      <c r="F77" s="432"/>
      <c r="G77" s="432"/>
      <c r="H77" s="432"/>
    </row>
    <row r="78" spans="1:8">
      <c r="A78" s="432"/>
      <c r="B78" s="432"/>
      <c r="C78" s="432"/>
      <c r="D78" s="432"/>
      <c r="E78" s="432"/>
      <c r="F78" s="432"/>
      <c r="G78" s="432"/>
      <c r="H78" s="432"/>
    </row>
    <row r="79" spans="1:8">
      <c r="A79" s="432" t="s">
        <v>481</v>
      </c>
    </row>
    <row r="80" spans="1:8">
      <c r="A80" s="433"/>
    </row>
    <row r="81" spans="1:1">
      <c r="A81" s="432"/>
    </row>
    <row r="82" spans="1:1">
      <c r="A82" s="432"/>
    </row>
    <row r="83" spans="1:1">
      <c r="A83" s="432"/>
    </row>
    <row r="84" spans="1:1">
      <c r="A84" s="432"/>
    </row>
    <row r="85" spans="1:1">
      <c r="A85" s="432"/>
    </row>
    <row r="86" spans="1:1">
      <c r="A86" s="432"/>
    </row>
    <row r="87" spans="1:1">
      <c r="A87" s="432"/>
    </row>
    <row r="88" spans="1:1">
      <c r="A88" s="432"/>
    </row>
    <row r="89" spans="1:1">
      <c r="A89" s="432"/>
    </row>
    <row r="90" spans="1:1">
      <c r="A90" s="432"/>
    </row>
    <row r="91" spans="1:1">
      <c r="A91" s="432"/>
    </row>
    <row r="92" spans="1:1">
      <c r="A92" s="432"/>
    </row>
    <row r="93" spans="1:1">
      <c r="A93" s="432"/>
    </row>
    <row r="94" spans="1:1">
      <c r="A94" s="432"/>
    </row>
    <row r="95" spans="1:1">
      <c r="A95" s="432"/>
    </row>
    <row r="96" spans="1:1">
      <c r="A96" s="432"/>
    </row>
    <row r="97" spans="1:1">
      <c r="A97" s="432"/>
    </row>
    <row r="98" spans="1:1">
      <c r="A98" s="432"/>
    </row>
    <row r="99" spans="1:1">
      <c r="A99" s="432"/>
    </row>
    <row r="100" spans="1:1">
      <c r="A100" s="432"/>
    </row>
    <row r="101" spans="1:1">
      <c r="A101" s="432"/>
    </row>
    <row r="103" spans="1:1">
      <c r="A103" s="432"/>
    </row>
    <row r="104" spans="1:1">
      <c r="A104" s="432"/>
    </row>
    <row r="105" spans="1:1">
      <c r="A105" s="432"/>
    </row>
    <row r="107" spans="1:1">
      <c r="A107" s="433"/>
    </row>
    <row r="108" spans="1:1">
      <c r="A108" s="433"/>
    </row>
    <row r="109" spans="1:1">
      <c r="A109" s="433"/>
    </row>
  </sheetData>
  <sheetProtection sheet="1"/>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sheetPr>
    <tabColor rgb="FFFF0000"/>
  </sheetPr>
  <dimension ref="A3:L75"/>
  <sheetViews>
    <sheetView workbookViewId="0">
      <selection activeCell="A2" sqref="A2"/>
    </sheetView>
  </sheetViews>
  <sheetFormatPr defaultRowHeight="15"/>
  <cols>
    <col min="1" max="1" width="71.33203125" customWidth="1"/>
  </cols>
  <sheetData>
    <row r="3" spans="1:12">
      <c r="A3" s="431" t="s">
        <v>537</v>
      </c>
      <c r="B3" s="431"/>
      <c r="C3" s="431"/>
      <c r="D3" s="431"/>
      <c r="E3" s="431"/>
      <c r="F3" s="431"/>
      <c r="G3" s="431"/>
      <c r="H3" s="431"/>
      <c r="I3" s="431"/>
      <c r="J3" s="431"/>
      <c r="K3" s="431"/>
      <c r="L3" s="431"/>
    </row>
    <row r="4" spans="1:12">
      <c r="A4" s="431"/>
      <c r="B4" s="431"/>
      <c r="C4" s="431"/>
      <c r="D4" s="431"/>
      <c r="E4" s="431"/>
      <c r="F4" s="431"/>
      <c r="G4" s="431"/>
      <c r="H4" s="431"/>
      <c r="I4" s="431"/>
      <c r="J4" s="431"/>
      <c r="K4" s="431"/>
      <c r="L4" s="431"/>
    </row>
    <row r="5" spans="1:12">
      <c r="A5" s="432" t="s">
        <v>426</v>
      </c>
      <c r="I5" s="431"/>
      <c r="J5" s="431"/>
      <c r="K5" s="431"/>
      <c r="L5" s="431"/>
    </row>
    <row r="6" spans="1:12">
      <c r="A6" s="432" t="str">
        <f>CONCATENATE("estimated ",inputPrYr!C4-1," 'total expenditures' exceed your ",inputPrYr!C4-1,"")</f>
        <v>estimated 2013 'total expenditures' exceed your 2013</v>
      </c>
      <c r="I6" s="431"/>
      <c r="J6" s="431"/>
      <c r="K6" s="431"/>
      <c r="L6" s="431"/>
    </row>
    <row r="7" spans="1:12">
      <c r="A7" s="435" t="s">
        <v>538</v>
      </c>
      <c r="I7" s="431"/>
      <c r="J7" s="431"/>
      <c r="K7" s="431"/>
      <c r="L7" s="431"/>
    </row>
    <row r="8" spans="1:12">
      <c r="A8" s="432"/>
      <c r="I8" s="431"/>
      <c r="J8" s="431"/>
      <c r="K8" s="431"/>
      <c r="L8" s="431"/>
    </row>
    <row r="9" spans="1:12">
      <c r="A9" s="432" t="s">
        <v>539</v>
      </c>
      <c r="I9" s="431"/>
      <c r="J9" s="431"/>
      <c r="K9" s="431"/>
      <c r="L9" s="431"/>
    </row>
    <row r="10" spans="1:12">
      <c r="A10" s="432" t="s">
        <v>540</v>
      </c>
      <c r="I10" s="431"/>
      <c r="J10" s="431"/>
      <c r="K10" s="431"/>
      <c r="L10" s="431"/>
    </row>
    <row r="11" spans="1:12">
      <c r="A11" s="432" t="s">
        <v>541</v>
      </c>
      <c r="I11" s="431"/>
      <c r="J11" s="431"/>
      <c r="K11" s="431"/>
      <c r="L11" s="431"/>
    </row>
    <row r="12" spans="1:12">
      <c r="A12" s="432" t="s">
        <v>542</v>
      </c>
      <c r="I12" s="431"/>
      <c r="J12" s="431"/>
      <c r="K12" s="431"/>
      <c r="L12" s="431"/>
    </row>
    <row r="13" spans="1:12">
      <c r="A13" s="432" t="s">
        <v>543</v>
      </c>
      <c r="I13" s="431"/>
      <c r="J13" s="431"/>
      <c r="K13" s="431"/>
      <c r="L13" s="431"/>
    </row>
    <row r="14" spans="1:12">
      <c r="A14" s="431"/>
      <c r="B14" s="431"/>
      <c r="C14" s="431"/>
      <c r="D14" s="431"/>
      <c r="E14" s="431"/>
      <c r="F14" s="431"/>
      <c r="G14" s="431"/>
      <c r="H14" s="431"/>
      <c r="I14" s="431"/>
      <c r="J14" s="431"/>
      <c r="K14" s="431"/>
      <c r="L14" s="431"/>
    </row>
    <row r="15" spans="1:12">
      <c r="A15" s="433" t="s">
        <v>544</v>
      </c>
    </row>
    <row r="16" spans="1:12">
      <c r="A16" s="433" t="s">
        <v>545</v>
      </c>
    </row>
    <row r="17" spans="1:7">
      <c r="A17" s="433"/>
    </row>
    <row r="18" spans="1:7">
      <c r="A18" s="432" t="s">
        <v>546</v>
      </c>
      <c r="B18" s="432"/>
      <c r="C18" s="432"/>
      <c r="D18" s="432"/>
      <c r="E18" s="432"/>
      <c r="F18" s="432"/>
      <c r="G18" s="432"/>
    </row>
    <row r="19" spans="1:7">
      <c r="A19" s="432" t="str">
        <f>CONCATENATE("your ",inputPrYr!C4-1," numbers to see what steps might be necessary to")</f>
        <v>your 2013 numbers to see what steps might be necessary to</v>
      </c>
      <c r="B19" s="432"/>
      <c r="C19" s="432"/>
      <c r="D19" s="432"/>
      <c r="E19" s="432"/>
      <c r="F19" s="432"/>
      <c r="G19" s="432"/>
    </row>
    <row r="20" spans="1:7">
      <c r="A20" s="432" t="s">
        <v>547</v>
      </c>
      <c r="B20" s="432"/>
      <c r="C20" s="432"/>
      <c r="D20" s="432"/>
      <c r="E20" s="432"/>
      <c r="F20" s="432"/>
      <c r="G20" s="432"/>
    </row>
    <row r="21" spans="1:7">
      <c r="A21" s="432" t="s">
        <v>548</v>
      </c>
      <c r="B21" s="432"/>
      <c r="C21" s="432"/>
      <c r="D21" s="432"/>
      <c r="E21" s="432"/>
      <c r="F21" s="432"/>
      <c r="G21" s="432"/>
    </row>
    <row r="22" spans="1:7">
      <c r="A22" s="432"/>
    </row>
    <row r="23" spans="1:7">
      <c r="A23" s="433" t="s">
        <v>549</v>
      </c>
    </row>
    <row r="24" spans="1:7">
      <c r="A24" s="433"/>
    </row>
    <row r="25" spans="1:7">
      <c r="A25" s="432" t="s">
        <v>550</v>
      </c>
    </row>
    <row r="26" spans="1:7">
      <c r="A26" s="432" t="s">
        <v>551</v>
      </c>
      <c r="B26" s="432"/>
      <c r="C26" s="432"/>
      <c r="D26" s="432"/>
      <c r="E26" s="432"/>
      <c r="F26" s="432"/>
    </row>
    <row r="27" spans="1:7">
      <c r="A27" s="432" t="s">
        <v>552</v>
      </c>
      <c r="B27" s="432"/>
      <c r="C27" s="432"/>
      <c r="D27" s="432"/>
      <c r="E27" s="432"/>
      <c r="F27" s="432"/>
    </row>
    <row r="28" spans="1:7">
      <c r="A28" s="432" t="s">
        <v>553</v>
      </c>
      <c r="B28" s="432"/>
      <c r="C28" s="432"/>
      <c r="D28" s="432"/>
      <c r="E28" s="432"/>
      <c r="F28" s="432"/>
    </row>
    <row r="29" spans="1:7">
      <c r="A29" s="432"/>
      <c r="B29" s="432"/>
      <c r="C29" s="432"/>
      <c r="D29" s="432"/>
      <c r="E29" s="432"/>
      <c r="F29" s="432"/>
    </row>
    <row r="30" spans="1:7">
      <c r="A30" s="433" t="s">
        <v>554</v>
      </c>
      <c r="B30" s="433"/>
      <c r="C30" s="433"/>
      <c r="D30" s="433"/>
      <c r="E30" s="433"/>
      <c r="F30" s="433"/>
      <c r="G30" s="433"/>
    </row>
    <row r="31" spans="1:7">
      <c r="A31" s="433" t="s">
        <v>555</v>
      </c>
      <c r="B31" s="433"/>
      <c r="C31" s="433"/>
      <c r="D31" s="433"/>
      <c r="E31" s="433"/>
      <c r="F31" s="433"/>
      <c r="G31" s="433"/>
    </row>
    <row r="32" spans="1:7">
      <c r="A32" s="432"/>
      <c r="B32" s="432"/>
      <c r="C32" s="432"/>
      <c r="D32" s="432"/>
      <c r="E32" s="432"/>
      <c r="F32" s="432"/>
    </row>
    <row r="33" spans="1:6">
      <c r="A33" s="436" t="str">
        <f>CONCATENATE("Well, let's look to see if any of your ",inputPrYr!C4-1," expenditures can")</f>
        <v>Well, let's look to see if any of your 2013 expenditures can</v>
      </c>
      <c r="B33" s="432"/>
      <c r="C33" s="432"/>
      <c r="D33" s="432"/>
      <c r="E33" s="432"/>
      <c r="F33" s="432"/>
    </row>
    <row r="34" spans="1:6">
      <c r="A34" s="436" t="s">
        <v>556</v>
      </c>
      <c r="B34" s="432"/>
      <c r="C34" s="432"/>
      <c r="D34" s="432"/>
      <c r="E34" s="432"/>
      <c r="F34" s="432"/>
    </row>
    <row r="35" spans="1:6">
      <c r="A35" s="436" t="s">
        <v>440</v>
      </c>
      <c r="B35" s="432"/>
      <c r="C35" s="432"/>
      <c r="D35" s="432"/>
      <c r="E35" s="432"/>
      <c r="F35" s="432"/>
    </row>
    <row r="36" spans="1:6">
      <c r="A36" s="436" t="s">
        <v>441</v>
      </c>
      <c r="B36" s="432"/>
      <c r="C36" s="432"/>
      <c r="D36" s="432"/>
      <c r="E36" s="432"/>
      <c r="F36" s="432"/>
    </row>
    <row r="37" spans="1:6">
      <c r="A37" s="436"/>
      <c r="B37" s="432"/>
      <c r="C37" s="432"/>
      <c r="D37" s="432"/>
      <c r="E37" s="432"/>
      <c r="F37" s="432"/>
    </row>
    <row r="38" spans="1:6">
      <c r="A38" s="436" t="str">
        <f>CONCATENATE("Additionally, do your ",inputPrYr!C4-1," receipts contain a reimbursement")</f>
        <v>Additionally, do your 2013 receipts contain a reimbursement</v>
      </c>
      <c r="B38" s="432"/>
      <c r="C38" s="432"/>
      <c r="D38" s="432"/>
      <c r="E38" s="432"/>
      <c r="F38" s="432"/>
    </row>
    <row r="39" spans="1:6">
      <c r="A39" s="436" t="s">
        <v>442</v>
      </c>
      <c r="B39" s="432"/>
      <c r="C39" s="432"/>
      <c r="D39" s="432"/>
      <c r="E39" s="432"/>
      <c r="F39" s="432"/>
    </row>
    <row r="40" spans="1:6">
      <c r="A40" s="436" t="s">
        <v>443</v>
      </c>
      <c r="B40" s="432"/>
      <c r="C40" s="432"/>
      <c r="D40" s="432"/>
      <c r="E40" s="432"/>
      <c r="F40" s="432"/>
    </row>
    <row r="41" spans="1:6">
      <c r="A41" s="436"/>
      <c r="B41" s="432"/>
      <c r="C41" s="432"/>
      <c r="D41" s="432"/>
      <c r="E41" s="432"/>
      <c r="F41" s="432"/>
    </row>
    <row r="42" spans="1:6">
      <c r="A42" s="436" t="s">
        <v>444</v>
      </c>
      <c r="B42" s="432"/>
      <c r="C42" s="432"/>
      <c r="D42" s="432"/>
      <c r="E42" s="432"/>
      <c r="F42" s="432"/>
    </row>
    <row r="43" spans="1:6">
      <c r="A43" s="436" t="s">
        <v>445</v>
      </c>
      <c r="B43" s="432"/>
      <c r="C43" s="432"/>
      <c r="D43" s="432"/>
      <c r="E43" s="432"/>
      <c r="F43" s="432"/>
    </row>
    <row r="44" spans="1:6">
      <c r="A44" s="436" t="s">
        <v>446</v>
      </c>
      <c r="B44" s="432"/>
      <c r="C44" s="432"/>
      <c r="D44" s="432"/>
      <c r="E44" s="432"/>
      <c r="F44" s="432"/>
    </row>
    <row r="45" spans="1:6">
      <c r="A45" s="436" t="s">
        <v>557</v>
      </c>
      <c r="B45" s="432"/>
      <c r="C45" s="432"/>
      <c r="D45" s="432"/>
      <c r="E45" s="432"/>
      <c r="F45" s="432"/>
    </row>
    <row r="46" spans="1:6">
      <c r="A46" s="436" t="s">
        <v>448</v>
      </c>
      <c r="B46" s="432"/>
      <c r="C46" s="432"/>
      <c r="D46" s="432"/>
      <c r="E46" s="432"/>
      <c r="F46" s="432"/>
    </row>
    <row r="47" spans="1:6">
      <c r="A47" s="436" t="s">
        <v>558</v>
      </c>
      <c r="B47" s="432"/>
      <c r="C47" s="432"/>
      <c r="D47" s="432"/>
      <c r="E47" s="432"/>
      <c r="F47" s="432"/>
    </row>
    <row r="48" spans="1:6">
      <c r="A48" s="436" t="s">
        <v>559</v>
      </c>
      <c r="B48" s="432"/>
      <c r="C48" s="432"/>
      <c r="D48" s="432"/>
      <c r="E48" s="432"/>
      <c r="F48" s="432"/>
    </row>
    <row r="49" spans="1:6">
      <c r="A49" s="436" t="s">
        <v>451</v>
      </c>
      <c r="B49" s="432"/>
      <c r="C49" s="432"/>
      <c r="D49" s="432"/>
      <c r="E49" s="432"/>
      <c r="F49" s="432"/>
    </row>
    <row r="50" spans="1:6">
      <c r="A50" s="436"/>
      <c r="B50" s="432"/>
      <c r="C50" s="432"/>
      <c r="D50" s="432"/>
      <c r="E50" s="432"/>
      <c r="F50" s="432"/>
    </row>
    <row r="51" spans="1:6">
      <c r="A51" s="436" t="s">
        <v>452</v>
      </c>
      <c r="B51" s="432"/>
      <c r="C51" s="432"/>
      <c r="D51" s="432"/>
      <c r="E51" s="432"/>
      <c r="F51" s="432"/>
    </row>
    <row r="52" spans="1:6">
      <c r="A52" s="436" t="s">
        <v>453</v>
      </c>
      <c r="B52" s="432"/>
      <c r="C52" s="432"/>
      <c r="D52" s="432"/>
      <c r="E52" s="432"/>
      <c r="F52" s="432"/>
    </row>
    <row r="53" spans="1:6">
      <c r="A53" s="436" t="s">
        <v>454</v>
      </c>
      <c r="B53" s="432"/>
      <c r="C53" s="432"/>
      <c r="D53" s="432"/>
      <c r="E53" s="432"/>
      <c r="F53" s="432"/>
    </row>
    <row r="54" spans="1:6">
      <c r="A54" s="436"/>
      <c r="B54" s="432"/>
      <c r="C54" s="432"/>
      <c r="D54" s="432"/>
      <c r="E54" s="432"/>
      <c r="F54" s="432"/>
    </row>
    <row r="55" spans="1:6">
      <c r="A55" s="436" t="s">
        <v>560</v>
      </c>
      <c r="B55" s="432"/>
      <c r="C55" s="432"/>
      <c r="D55" s="432"/>
      <c r="E55" s="432"/>
      <c r="F55" s="432"/>
    </row>
    <row r="56" spans="1:6">
      <c r="A56" s="436" t="s">
        <v>561</v>
      </c>
      <c r="B56" s="432"/>
      <c r="C56" s="432"/>
      <c r="D56" s="432"/>
      <c r="E56" s="432"/>
      <c r="F56" s="432"/>
    </row>
    <row r="57" spans="1:6">
      <c r="A57" s="436" t="s">
        <v>562</v>
      </c>
      <c r="B57" s="432"/>
      <c r="C57" s="432"/>
      <c r="D57" s="432"/>
      <c r="E57" s="432"/>
      <c r="F57" s="432"/>
    </row>
    <row r="58" spans="1:6">
      <c r="A58" s="436" t="s">
        <v>563</v>
      </c>
      <c r="B58" s="432"/>
      <c r="C58" s="432"/>
      <c r="D58" s="432"/>
      <c r="E58" s="432"/>
      <c r="F58" s="432"/>
    </row>
    <row r="59" spans="1:6">
      <c r="A59" s="436" t="s">
        <v>564</v>
      </c>
      <c r="B59" s="432"/>
      <c r="C59" s="432"/>
      <c r="D59" s="432"/>
      <c r="E59" s="432"/>
      <c r="F59" s="432"/>
    </row>
    <row r="60" spans="1:6">
      <c r="A60" s="436"/>
      <c r="B60" s="432"/>
      <c r="C60" s="432"/>
      <c r="D60" s="432"/>
      <c r="E60" s="432"/>
      <c r="F60" s="432"/>
    </row>
    <row r="61" spans="1:6">
      <c r="A61" s="437" t="s">
        <v>565</v>
      </c>
      <c r="B61" s="432"/>
      <c r="C61" s="432"/>
      <c r="D61" s="432"/>
      <c r="E61" s="432"/>
      <c r="F61" s="432"/>
    </row>
    <row r="62" spans="1:6">
      <c r="A62" s="437" t="s">
        <v>566</v>
      </c>
      <c r="B62" s="432"/>
      <c r="C62" s="432"/>
      <c r="D62" s="432"/>
      <c r="E62" s="432"/>
      <c r="F62" s="432"/>
    </row>
    <row r="63" spans="1:6">
      <c r="A63" s="437" t="s">
        <v>567</v>
      </c>
      <c r="B63" s="432"/>
      <c r="C63" s="432"/>
      <c r="D63" s="432"/>
      <c r="E63" s="432"/>
      <c r="F63" s="432"/>
    </row>
    <row r="64" spans="1:6">
      <c r="A64" s="437" t="s">
        <v>568</v>
      </c>
    </row>
    <row r="65" spans="1:1">
      <c r="A65" s="437" t="s">
        <v>569</v>
      </c>
    </row>
    <row r="66" spans="1:1">
      <c r="A66" s="437" t="s">
        <v>570</v>
      </c>
    </row>
    <row r="68" spans="1:1">
      <c r="A68" s="432" t="s">
        <v>571</v>
      </c>
    </row>
    <row r="69" spans="1:1">
      <c r="A69" s="432" t="s">
        <v>572</v>
      </c>
    </row>
    <row r="70" spans="1:1">
      <c r="A70" s="432" t="s">
        <v>573</v>
      </c>
    </row>
    <row r="71" spans="1:1">
      <c r="A71" s="432" t="s">
        <v>574</v>
      </c>
    </row>
    <row r="72" spans="1:1">
      <c r="A72" s="432" t="s">
        <v>575</v>
      </c>
    </row>
    <row r="73" spans="1:1">
      <c r="A73" s="432" t="s">
        <v>576</v>
      </c>
    </row>
    <row r="75" spans="1:1">
      <c r="A75" s="432" t="s">
        <v>481</v>
      </c>
    </row>
  </sheetData>
  <sheetProtection sheet="1"/>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sheetPr>
    <tabColor rgb="FFFF0000"/>
  </sheetPr>
  <dimension ref="A3:G106"/>
  <sheetViews>
    <sheetView workbookViewId="0">
      <selection activeCell="A2" sqref="A2"/>
    </sheetView>
  </sheetViews>
  <sheetFormatPr defaultRowHeight="15"/>
  <cols>
    <col min="1" max="1" width="71.33203125" customWidth="1"/>
  </cols>
  <sheetData>
    <row r="3" spans="1:7">
      <c r="A3" s="431" t="s">
        <v>577</v>
      </c>
      <c r="B3" s="431"/>
      <c r="C3" s="431"/>
      <c r="D3" s="431"/>
      <c r="E3" s="431"/>
      <c r="F3" s="431"/>
      <c r="G3" s="431"/>
    </row>
    <row r="4" spans="1:7">
      <c r="A4" s="431"/>
      <c r="B4" s="431"/>
      <c r="C4" s="431"/>
      <c r="D4" s="431"/>
      <c r="E4" s="431"/>
      <c r="F4" s="431"/>
      <c r="G4" s="431"/>
    </row>
    <row r="5" spans="1:7">
      <c r="A5" s="432" t="s">
        <v>483</v>
      </c>
    </row>
    <row r="6" spans="1:7">
      <c r="A6" s="432" t="str">
        <f>CONCATENATE(inputPrYr!C4-1," estimated expenditures show that at the end of this year")</f>
        <v>2013 estimated expenditures show that at the end of this year</v>
      </c>
    </row>
    <row r="7" spans="1:7">
      <c r="A7" s="432" t="s">
        <v>578</v>
      </c>
    </row>
    <row r="8" spans="1:7">
      <c r="A8" s="432" t="s">
        <v>579</v>
      </c>
    </row>
    <row r="10" spans="1:7">
      <c r="A10" t="s">
        <v>485</v>
      </c>
    </row>
    <row r="11" spans="1:7">
      <c r="A11" t="s">
        <v>486</v>
      </c>
    </row>
    <row r="12" spans="1:7">
      <c r="A12" t="s">
        <v>487</v>
      </c>
    </row>
    <row r="13" spans="1:7">
      <c r="A13" s="431"/>
      <c r="B13" s="431"/>
      <c r="C13" s="431"/>
      <c r="D13" s="431"/>
      <c r="E13" s="431"/>
      <c r="F13" s="431"/>
      <c r="G13" s="431"/>
    </row>
    <row r="14" spans="1:7">
      <c r="A14" s="433" t="s">
        <v>580</v>
      </c>
    </row>
    <row r="15" spans="1:7">
      <c r="A15" s="432"/>
    </row>
    <row r="16" spans="1:7">
      <c r="A16" s="432" t="s">
        <v>581</v>
      </c>
    </row>
    <row r="17" spans="1:7">
      <c r="A17" s="432" t="s">
        <v>582</v>
      </c>
    </row>
    <row r="18" spans="1:7">
      <c r="A18" s="432" t="s">
        <v>583</v>
      </c>
    </row>
    <row r="19" spans="1:7">
      <c r="A19" s="432"/>
    </row>
    <row r="20" spans="1:7">
      <c r="A20" s="432" t="s">
        <v>584</v>
      </c>
    </row>
    <row r="21" spans="1:7">
      <c r="A21" s="432" t="s">
        <v>585</v>
      </c>
    </row>
    <row r="22" spans="1:7">
      <c r="A22" s="432" t="s">
        <v>586</v>
      </c>
    </row>
    <row r="23" spans="1:7">
      <c r="A23" s="432" t="s">
        <v>587</v>
      </c>
    </row>
    <row r="24" spans="1:7">
      <c r="A24" s="432"/>
    </row>
    <row r="25" spans="1:7">
      <c r="A25" s="433" t="s">
        <v>549</v>
      </c>
    </row>
    <row r="26" spans="1:7">
      <c r="A26" s="433"/>
    </row>
    <row r="27" spans="1:7">
      <c r="A27" s="432" t="s">
        <v>550</v>
      </c>
    </row>
    <row r="28" spans="1:7">
      <c r="A28" s="432" t="s">
        <v>551</v>
      </c>
      <c r="B28" s="432"/>
      <c r="C28" s="432"/>
      <c r="D28" s="432"/>
      <c r="E28" s="432"/>
      <c r="F28" s="432"/>
    </row>
    <row r="29" spans="1:7">
      <c r="A29" s="432" t="s">
        <v>552</v>
      </c>
      <c r="B29" s="432"/>
      <c r="C29" s="432"/>
      <c r="D29" s="432"/>
      <c r="E29" s="432"/>
      <c r="F29" s="432"/>
    </row>
    <row r="30" spans="1:7">
      <c r="A30" s="432" t="s">
        <v>553</v>
      </c>
      <c r="B30" s="432"/>
      <c r="C30" s="432"/>
      <c r="D30" s="432"/>
      <c r="E30" s="432"/>
      <c r="F30" s="432"/>
    </row>
    <row r="31" spans="1:7">
      <c r="A31" s="432"/>
    </row>
    <row r="32" spans="1:7">
      <c r="A32" s="433" t="s">
        <v>554</v>
      </c>
      <c r="B32" s="433"/>
      <c r="C32" s="433"/>
      <c r="D32" s="433"/>
      <c r="E32" s="433"/>
      <c r="F32" s="433"/>
      <c r="G32" s="433"/>
    </row>
    <row r="33" spans="1:7">
      <c r="A33" s="433" t="s">
        <v>555</v>
      </c>
      <c r="B33" s="433"/>
      <c r="C33" s="433"/>
      <c r="D33" s="433"/>
      <c r="E33" s="433"/>
      <c r="F33" s="433"/>
      <c r="G33" s="433"/>
    </row>
    <row r="34" spans="1:7">
      <c r="A34" s="433"/>
      <c r="B34" s="433"/>
      <c r="C34" s="433"/>
      <c r="D34" s="433"/>
      <c r="E34" s="433"/>
      <c r="F34" s="433"/>
      <c r="G34" s="433"/>
    </row>
    <row r="35" spans="1:7">
      <c r="A35" s="432" t="s">
        <v>588</v>
      </c>
      <c r="B35" s="432"/>
      <c r="C35" s="432"/>
      <c r="D35" s="432"/>
      <c r="E35" s="432"/>
      <c r="F35" s="432"/>
      <c r="G35" s="432"/>
    </row>
    <row r="36" spans="1:7">
      <c r="A36" s="432" t="s">
        <v>589</v>
      </c>
      <c r="B36" s="432"/>
      <c r="C36" s="432"/>
      <c r="D36" s="432"/>
      <c r="E36" s="432"/>
      <c r="F36" s="432"/>
      <c r="G36" s="432"/>
    </row>
    <row r="37" spans="1:7">
      <c r="A37" s="432" t="s">
        <v>590</v>
      </c>
      <c r="B37" s="432"/>
      <c r="C37" s="432"/>
      <c r="D37" s="432"/>
      <c r="E37" s="432"/>
      <c r="F37" s="432"/>
      <c r="G37" s="432"/>
    </row>
    <row r="38" spans="1:7">
      <c r="A38" s="432" t="s">
        <v>591</v>
      </c>
      <c r="B38" s="432"/>
      <c r="C38" s="432"/>
      <c r="D38" s="432"/>
      <c r="E38" s="432"/>
      <c r="F38" s="432"/>
      <c r="G38" s="432"/>
    </row>
    <row r="39" spans="1:7">
      <c r="A39" s="432" t="s">
        <v>592</v>
      </c>
      <c r="B39" s="432"/>
      <c r="C39" s="432"/>
      <c r="D39" s="432"/>
      <c r="E39" s="432"/>
      <c r="F39" s="432"/>
      <c r="G39" s="432"/>
    </row>
    <row r="40" spans="1:7">
      <c r="A40" s="433"/>
      <c r="B40" s="433"/>
      <c r="C40" s="433"/>
      <c r="D40" s="433"/>
      <c r="E40" s="433"/>
      <c r="F40" s="433"/>
      <c r="G40" s="433"/>
    </row>
    <row r="41" spans="1:7">
      <c r="A41" s="436" t="str">
        <f>CONCATENATE("So, let's look to see if any of your ",inputPrYr!C4-1," expenditures can")</f>
        <v>So, let's look to see if any of your 2013 expenditures can</v>
      </c>
      <c r="B41" s="432"/>
      <c r="C41" s="432"/>
      <c r="D41" s="432"/>
      <c r="E41" s="432"/>
      <c r="F41" s="432"/>
    </row>
    <row r="42" spans="1:7">
      <c r="A42" s="436" t="s">
        <v>556</v>
      </c>
      <c r="B42" s="432"/>
      <c r="C42" s="432"/>
      <c r="D42" s="432"/>
      <c r="E42" s="432"/>
      <c r="F42" s="432"/>
    </row>
    <row r="43" spans="1:7">
      <c r="A43" s="436" t="s">
        <v>440</v>
      </c>
      <c r="B43" s="432"/>
      <c r="C43" s="432"/>
      <c r="D43" s="432"/>
      <c r="E43" s="432"/>
      <c r="F43" s="432"/>
    </row>
    <row r="44" spans="1:7">
      <c r="A44" s="436" t="s">
        <v>441</v>
      </c>
      <c r="B44" s="432"/>
      <c r="C44" s="432"/>
      <c r="D44" s="432"/>
      <c r="E44" s="432"/>
      <c r="F44" s="432"/>
    </row>
    <row r="45" spans="1:7">
      <c r="A45" s="432"/>
    </row>
    <row r="46" spans="1:7">
      <c r="A46" s="436" t="str">
        <f>CONCATENATE("Additionally, do your ",inputPrYr!C4-1," receipts contain a reimbursement")</f>
        <v>Additionally, do your 2013 receipts contain a reimbursement</v>
      </c>
      <c r="B46" s="432"/>
      <c r="C46" s="432"/>
      <c r="D46" s="432"/>
      <c r="E46" s="432"/>
      <c r="F46" s="432"/>
    </row>
    <row r="47" spans="1:7">
      <c r="A47" s="436" t="s">
        <v>442</v>
      </c>
      <c r="B47" s="432"/>
      <c r="C47" s="432"/>
      <c r="D47" s="432"/>
      <c r="E47" s="432"/>
      <c r="F47" s="432"/>
    </row>
    <row r="48" spans="1:7">
      <c r="A48" s="436" t="s">
        <v>443</v>
      </c>
      <c r="B48" s="432"/>
      <c r="C48" s="432"/>
      <c r="D48" s="432"/>
      <c r="E48" s="432"/>
      <c r="F48" s="432"/>
    </row>
    <row r="49" spans="1:7">
      <c r="A49" s="432"/>
      <c r="B49" s="432"/>
      <c r="C49" s="432"/>
      <c r="D49" s="432"/>
      <c r="E49" s="432"/>
      <c r="F49" s="432"/>
      <c r="G49" s="432"/>
    </row>
    <row r="50" spans="1:7">
      <c r="A50" s="432" t="s">
        <v>510</v>
      </c>
      <c r="B50" s="432"/>
      <c r="C50" s="432"/>
      <c r="D50" s="432"/>
      <c r="E50" s="432"/>
      <c r="F50" s="432"/>
      <c r="G50" s="432"/>
    </row>
    <row r="51" spans="1:7">
      <c r="A51" s="432" t="s">
        <v>511</v>
      </c>
      <c r="B51" s="432"/>
      <c r="C51" s="432"/>
      <c r="D51" s="432"/>
      <c r="E51" s="432"/>
      <c r="F51" s="432"/>
      <c r="G51" s="432"/>
    </row>
    <row r="52" spans="1:7">
      <c r="A52" s="432" t="s">
        <v>512</v>
      </c>
      <c r="B52" s="432"/>
      <c r="C52" s="432"/>
      <c r="D52" s="432"/>
      <c r="E52" s="432"/>
      <c r="F52" s="432"/>
      <c r="G52" s="432"/>
    </row>
    <row r="53" spans="1:7">
      <c r="A53" s="432" t="s">
        <v>513</v>
      </c>
      <c r="B53" s="432"/>
      <c r="C53" s="432"/>
      <c r="D53" s="432"/>
      <c r="E53" s="432"/>
      <c r="F53" s="432"/>
      <c r="G53" s="432"/>
    </row>
    <row r="54" spans="1:7">
      <c r="A54" s="432" t="s">
        <v>514</v>
      </c>
      <c r="B54" s="432"/>
      <c r="C54" s="432"/>
      <c r="D54" s="432"/>
      <c r="E54" s="432"/>
      <c r="F54" s="432"/>
      <c r="G54" s="432"/>
    </row>
    <row r="55" spans="1:7">
      <c r="A55" s="432"/>
      <c r="B55" s="432"/>
      <c r="C55" s="432"/>
      <c r="D55" s="432"/>
      <c r="E55" s="432"/>
      <c r="F55" s="432"/>
      <c r="G55" s="432"/>
    </row>
    <row r="56" spans="1:7">
      <c r="A56" s="436" t="s">
        <v>452</v>
      </c>
      <c r="B56" s="432"/>
      <c r="C56" s="432"/>
      <c r="D56" s="432"/>
      <c r="E56" s="432"/>
      <c r="F56" s="432"/>
    </row>
    <row r="57" spans="1:7">
      <c r="A57" s="436" t="s">
        <v>453</v>
      </c>
      <c r="B57" s="432"/>
      <c r="C57" s="432"/>
      <c r="D57" s="432"/>
      <c r="E57" s="432"/>
      <c r="F57" s="432"/>
    </row>
    <row r="58" spans="1:7">
      <c r="A58" s="436" t="s">
        <v>454</v>
      </c>
      <c r="B58" s="432"/>
      <c r="C58" s="432"/>
      <c r="D58" s="432"/>
      <c r="E58" s="432"/>
      <c r="F58" s="432"/>
    </row>
    <row r="59" spans="1:7">
      <c r="A59" s="436"/>
      <c r="B59" s="432"/>
      <c r="C59" s="432"/>
      <c r="D59" s="432"/>
      <c r="E59" s="432"/>
      <c r="F59" s="432"/>
    </row>
    <row r="60" spans="1:7">
      <c r="A60" s="432" t="s">
        <v>593</v>
      </c>
      <c r="B60" s="432"/>
      <c r="C60" s="432"/>
      <c r="D60" s="432"/>
      <c r="E60" s="432"/>
      <c r="F60" s="432"/>
      <c r="G60" s="432"/>
    </row>
    <row r="61" spans="1:7">
      <c r="A61" s="432" t="s">
        <v>594</v>
      </c>
      <c r="B61" s="432"/>
      <c r="C61" s="432"/>
      <c r="D61" s="432"/>
      <c r="E61" s="432"/>
      <c r="F61" s="432"/>
      <c r="G61" s="432"/>
    </row>
    <row r="62" spans="1:7">
      <c r="A62" s="432" t="s">
        <v>595</v>
      </c>
      <c r="B62" s="432"/>
      <c r="C62" s="432"/>
      <c r="D62" s="432"/>
      <c r="E62" s="432"/>
      <c r="F62" s="432"/>
      <c r="G62" s="432"/>
    </row>
    <row r="63" spans="1:7">
      <c r="A63" s="432" t="s">
        <v>596</v>
      </c>
      <c r="B63" s="432"/>
      <c r="C63" s="432"/>
      <c r="D63" s="432"/>
      <c r="E63" s="432"/>
      <c r="F63" s="432"/>
      <c r="G63" s="432"/>
    </row>
    <row r="64" spans="1:7">
      <c r="A64" s="432" t="s">
        <v>597</v>
      </c>
      <c r="B64" s="432"/>
      <c r="C64" s="432"/>
      <c r="D64" s="432"/>
      <c r="E64" s="432"/>
      <c r="F64" s="432"/>
      <c r="G64" s="432"/>
    </row>
    <row r="66" spans="1:6">
      <c r="A66" s="436" t="s">
        <v>560</v>
      </c>
      <c r="B66" s="432"/>
      <c r="C66" s="432"/>
      <c r="D66" s="432"/>
      <c r="E66" s="432"/>
      <c r="F66" s="432"/>
    </row>
    <row r="67" spans="1:6">
      <c r="A67" s="436" t="s">
        <v>561</v>
      </c>
      <c r="B67" s="432"/>
      <c r="C67" s="432"/>
      <c r="D67" s="432"/>
      <c r="E67" s="432"/>
      <c r="F67" s="432"/>
    </row>
    <row r="68" spans="1:6">
      <c r="A68" s="436" t="s">
        <v>562</v>
      </c>
      <c r="B68" s="432"/>
      <c r="C68" s="432"/>
      <c r="D68" s="432"/>
      <c r="E68" s="432"/>
      <c r="F68" s="432"/>
    </row>
    <row r="69" spans="1:6">
      <c r="A69" s="436" t="s">
        <v>563</v>
      </c>
      <c r="B69" s="432"/>
      <c r="C69" s="432"/>
      <c r="D69" s="432"/>
      <c r="E69" s="432"/>
      <c r="F69" s="432"/>
    </row>
    <row r="70" spans="1:6">
      <c r="A70" s="436" t="s">
        <v>564</v>
      </c>
      <c r="B70" s="432"/>
      <c r="C70" s="432"/>
      <c r="D70" s="432"/>
      <c r="E70" s="432"/>
      <c r="F70" s="432"/>
    </row>
    <row r="71" spans="1:6">
      <c r="A71" s="432"/>
    </row>
    <row r="72" spans="1:6">
      <c r="A72" s="432" t="s">
        <v>481</v>
      </c>
    </row>
    <row r="73" spans="1:6">
      <c r="A73" s="432"/>
    </row>
    <row r="74" spans="1:6">
      <c r="A74" s="432"/>
    </row>
    <row r="75" spans="1:6">
      <c r="A75" s="432"/>
    </row>
    <row r="78" spans="1:6">
      <c r="A78" s="433"/>
    </row>
    <row r="80" spans="1:6">
      <c r="A80" s="432"/>
    </row>
    <row r="81" spans="1:1">
      <c r="A81" s="432"/>
    </row>
    <row r="82" spans="1:1">
      <c r="A82" s="432"/>
    </row>
    <row r="83" spans="1:1">
      <c r="A83" s="432"/>
    </row>
    <row r="84" spans="1:1">
      <c r="A84" s="432"/>
    </row>
    <row r="85" spans="1:1">
      <c r="A85" s="432"/>
    </row>
    <row r="86" spans="1:1">
      <c r="A86" s="432"/>
    </row>
    <row r="87" spans="1:1">
      <c r="A87" s="432"/>
    </row>
    <row r="88" spans="1:1">
      <c r="A88" s="432"/>
    </row>
    <row r="89" spans="1:1">
      <c r="A89" s="432"/>
    </row>
    <row r="90" spans="1:1">
      <c r="A90" s="432"/>
    </row>
    <row r="92" spans="1:1">
      <c r="A92" s="432"/>
    </row>
    <row r="93" spans="1:1">
      <c r="A93" s="432"/>
    </row>
    <row r="94" spans="1:1">
      <c r="A94" s="432"/>
    </row>
    <row r="95" spans="1:1">
      <c r="A95" s="432"/>
    </row>
    <row r="96" spans="1:1">
      <c r="A96" s="432"/>
    </row>
    <row r="97" spans="1:1">
      <c r="A97" s="432"/>
    </row>
    <row r="98" spans="1:1">
      <c r="A98" s="432"/>
    </row>
    <row r="99" spans="1:1">
      <c r="A99" s="432"/>
    </row>
    <row r="100" spans="1:1">
      <c r="A100" s="432"/>
    </row>
    <row r="101" spans="1:1">
      <c r="A101" s="432"/>
    </row>
    <row r="102" spans="1:1">
      <c r="A102" s="432"/>
    </row>
    <row r="103" spans="1:1">
      <c r="A103" s="432"/>
    </row>
    <row r="104" spans="1:1">
      <c r="A104" s="432"/>
    </row>
    <row r="105" spans="1:1">
      <c r="A105" s="432"/>
    </row>
    <row r="106" spans="1:1">
      <c r="A106" s="432"/>
    </row>
  </sheetData>
  <sheetProtection sheet="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3">
    <pageSetUpPr fitToPage="1"/>
  </sheetPr>
  <dimension ref="A1:F84"/>
  <sheetViews>
    <sheetView topLeftCell="A31" zoomScale="90" workbookViewId="0">
      <selection activeCell="C68" sqref="C68"/>
    </sheetView>
  </sheetViews>
  <sheetFormatPr defaultRowHeight="12.75"/>
  <cols>
    <col min="1" max="1" width="20.77734375" style="162" customWidth="1"/>
    <col min="2" max="2" width="9.77734375" style="162" customWidth="1"/>
    <col min="3" max="3" width="5.77734375" style="162" customWidth="1"/>
    <col min="4" max="6" width="15.77734375" style="162" customWidth="1"/>
    <col min="7" max="16384" width="8.88671875" style="162"/>
  </cols>
  <sheetData>
    <row r="1" spans="1:6">
      <c r="A1" s="161"/>
      <c r="B1" s="161"/>
      <c r="C1" s="161"/>
      <c r="D1" s="161"/>
      <c r="E1" s="161"/>
      <c r="F1" s="161"/>
    </row>
    <row r="2" spans="1:6">
      <c r="A2" s="764" t="s">
        <v>228</v>
      </c>
      <c r="B2" s="764"/>
      <c r="C2" s="764"/>
      <c r="D2" s="764"/>
      <c r="E2" s="764"/>
      <c r="F2" s="764"/>
    </row>
    <row r="3" spans="1:6" ht="15" customHeight="1">
      <c r="A3" s="163"/>
      <c r="B3" s="163"/>
      <c r="C3" s="163"/>
      <c r="D3" s="163"/>
      <c r="E3" s="163"/>
      <c r="F3" s="161">
        <f>inputPrYr!C4</f>
        <v>2014</v>
      </c>
    </row>
    <row r="4" spans="1:6" ht="15">
      <c r="A4" s="769" t="str">
        <f>CONCATENATE("To the Clerk of ",inputPrYr!C2,", State of Kansas")</f>
        <v>To the Clerk of Lyon County, State of Kansas</v>
      </c>
      <c r="B4" s="770"/>
      <c r="C4" s="770"/>
      <c r="D4" s="770"/>
      <c r="E4" s="770"/>
      <c r="F4" s="770"/>
    </row>
    <row r="5" spans="1:6" ht="15">
      <c r="A5" s="769" t="s">
        <v>5</v>
      </c>
      <c r="B5" s="771"/>
      <c r="C5" s="771"/>
      <c r="D5" s="771"/>
      <c r="E5" s="771"/>
      <c r="F5" s="771"/>
    </row>
    <row r="6" spans="1:6" ht="15">
      <c r="A6" s="767" t="str">
        <f>(inputPrYr!C2)</f>
        <v>Lyon County</v>
      </c>
      <c r="B6" s="768"/>
      <c r="C6" s="768"/>
      <c r="D6" s="768"/>
      <c r="E6" s="768"/>
      <c r="F6" s="768"/>
    </row>
    <row r="7" spans="1:6">
      <c r="A7" s="165" t="s">
        <v>135</v>
      </c>
      <c r="B7" s="166"/>
      <c r="C7" s="166"/>
      <c r="D7" s="166"/>
      <c r="E7" s="166"/>
      <c r="F7" s="166"/>
    </row>
    <row r="8" spans="1:6">
      <c r="A8" s="165" t="s">
        <v>136</v>
      </c>
      <c r="B8" s="166"/>
      <c r="C8" s="166"/>
      <c r="D8" s="166"/>
      <c r="E8" s="166"/>
      <c r="F8" s="166"/>
    </row>
    <row r="9" spans="1:6">
      <c r="A9" s="165" t="str">
        <f>CONCATENATE("maximum expenditure for the various funds for the year ",F3,"; and")</f>
        <v>maximum expenditure for the various funds for the year 2014; and</v>
      </c>
      <c r="B9" s="166"/>
      <c r="C9" s="166"/>
      <c r="D9" s="166"/>
      <c r="E9" s="166"/>
      <c r="F9" s="166"/>
    </row>
    <row r="10" spans="1:6">
      <c r="A10" s="165" t="str">
        <f>CONCATENATE("(3) the Amount(s) of ",F3-1," Ad Valorem Tax are within statutory limitations.")</f>
        <v>(3) the Amount(s) of 2013 Ad Valorem Tax are within statutory limitations.</v>
      </c>
      <c r="B10" s="166"/>
      <c r="C10" s="166"/>
      <c r="D10" s="166"/>
      <c r="E10" s="166"/>
      <c r="F10" s="166"/>
    </row>
    <row r="11" spans="1:6" ht="8.25" customHeight="1">
      <c r="A11" s="167"/>
      <c r="B11" s="163"/>
      <c r="C11" s="163"/>
      <c r="D11" s="168"/>
      <c r="E11" s="168"/>
      <c r="F11" s="168"/>
    </row>
    <row r="12" spans="1:6">
      <c r="A12" s="163"/>
      <c r="B12" s="163"/>
      <c r="C12" s="163"/>
      <c r="D12" s="169" t="str">
        <f>CONCATENATE("",F3," Adopted Budget")</f>
        <v>2014 Adopted Budget</v>
      </c>
      <c r="E12" s="170"/>
      <c r="F12" s="171"/>
    </row>
    <row r="13" spans="1:6" ht="13.5" customHeight="1">
      <c r="A13" s="163"/>
      <c r="B13" s="163"/>
      <c r="C13" s="172" t="s">
        <v>137</v>
      </c>
      <c r="D13" s="474" t="s">
        <v>673</v>
      </c>
      <c r="E13" s="765" t="str">
        <f>CONCATENATE("Amount of ",F3-1,"               Ad Valorem Tax")</f>
        <v>Amount of 2013               Ad Valorem Tax</v>
      </c>
      <c r="F13" s="172" t="s">
        <v>138</v>
      </c>
    </row>
    <row r="14" spans="1:6" ht="12.75" customHeight="1">
      <c r="A14" s="173" t="s">
        <v>139</v>
      </c>
      <c r="B14" s="174"/>
      <c r="C14" s="175" t="s">
        <v>140</v>
      </c>
      <c r="D14" s="473" t="s">
        <v>674</v>
      </c>
      <c r="E14" s="766"/>
      <c r="F14" s="175" t="s">
        <v>142</v>
      </c>
    </row>
    <row r="15" spans="1:6">
      <c r="A15" s="176" t="str">
        <f>CONCATENATE("Computation to Determine Limit for ",F3,"")</f>
        <v>Computation to Determine Limit for 2014</v>
      </c>
      <c r="B15" s="180"/>
      <c r="C15" s="175">
        <v>2</v>
      </c>
      <c r="D15" s="177"/>
      <c r="E15" s="177"/>
      <c r="F15" s="177"/>
    </row>
    <row r="16" spans="1:6">
      <c r="A16" s="179" t="s">
        <v>845</v>
      </c>
      <c r="B16" s="180"/>
      <c r="C16" s="181">
        <v>3</v>
      </c>
      <c r="D16" s="177"/>
      <c r="E16" s="177"/>
      <c r="F16" s="177"/>
    </row>
    <row r="17" spans="1:6">
      <c r="A17" s="659" t="s">
        <v>283</v>
      </c>
      <c r="B17" s="705"/>
      <c r="C17" s="181">
        <v>4</v>
      </c>
      <c r="D17" s="177"/>
      <c r="E17" s="177"/>
      <c r="F17" s="177"/>
    </row>
    <row r="18" spans="1:6">
      <c r="A18" s="179" t="s">
        <v>143</v>
      </c>
      <c r="B18" s="180"/>
      <c r="C18" s="182">
        <v>5</v>
      </c>
      <c r="D18" s="183"/>
      <c r="E18" s="183"/>
      <c r="F18" s="183"/>
    </row>
    <row r="19" spans="1:6">
      <c r="A19" s="179" t="s">
        <v>144</v>
      </c>
      <c r="B19" s="180"/>
      <c r="C19" s="184">
        <v>6</v>
      </c>
      <c r="D19" s="183"/>
      <c r="E19" s="183"/>
      <c r="F19" s="183"/>
    </row>
    <row r="20" spans="1:6">
      <c r="A20" s="185" t="s">
        <v>145</v>
      </c>
      <c r="B20" s="186" t="s">
        <v>146</v>
      </c>
      <c r="C20" s="187"/>
      <c r="D20" s="188"/>
      <c r="E20" s="188"/>
      <c r="F20" s="188"/>
    </row>
    <row r="21" spans="1:6" ht="15.75">
      <c r="A21" s="176" t="str">
        <f>inputPrYr!B16</f>
        <v>General</v>
      </c>
      <c r="B21" s="189" t="str">
        <f>inputPrYr!C16</f>
        <v>79-1946</v>
      </c>
      <c r="C21" s="182">
        <v>7</v>
      </c>
      <c r="D21" s="190">
        <f>IF(general!$E$115&lt;&gt;0,general!$E$115,"  ")</f>
        <v>13125747</v>
      </c>
      <c r="E21" s="190">
        <f>IF(general!$E$122&lt;&gt;0,general!$E$122,"  ")</f>
        <v>8058697.9889000012</v>
      </c>
      <c r="F21" s="711" t="str">
        <f>IF(AND(general!E122=0,$F$69&gt;=0)," ",IF(AND(E21&gt;0,$F$69=0)," ",IF(AND(E21&gt;0,$F$69&gt;0),ROUND(E21/$F$69*1000,3))))</f>
        <v xml:space="preserve"> </v>
      </c>
    </row>
    <row r="22" spans="1:6" ht="15.75">
      <c r="A22" s="176" t="str">
        <f>inputPrYr!B17</f>
        <v>Debt Service</v>
      </c>
      <c r="B22" s="189" t="str">
        <f>inputPrYr!C17</f>
        <v>10-113</v>
      </c>
      <c r="C22" s="192">
        <f>IF(DebtService!C59&gt;0,DebtService!C59,"")</f>
        <v>8</v>
      </c>
      <c r="D22" s="709" t="str">
        <f>IF(DebtService!$E$50&lt;&gt;0,DebtService!$E$50,"  ")</f>
        <v xml:space="preserve">  </v>
      </c>
      <c r="E22" s="710">
        <f>IF(DebtService!$E$57&lt;&gt;0,DebtService!$E$57,0)</f>
        <v>0</v>
      </c>
      <c r="F22" s="711" t="str">
        <f>IF(AND(DebtService!E57=0,$F$69&gt;=0)," ",IF(AND(E22&gt;0,$F$69=0)," ",IF(AND(E22&gt;0,$F$69&gt;0),ROUND(E22/$F$69*1000,3))))</f>
        <v xml:space="preserve"> </v>
      </c>
    </row>
    <row r="23" spans="1:6" ht="15.75">
      <c r="A23" s="176" t="str">
        <f>inputPrYr!B18</f>
        <v>Road &amp; Bridge</v>
      </c>
      <c r="B23" s="189" t="str">
        <f>inputPrYr!C18</f>
        <v>79-1946</v>
      </c>
      <c r="C23" s="182">
        <f>IF(road!C57&gt;0,road!C57,"")</f>
        <v>9</v>
      </c>
      <c r="D23" s="190">
        <f>IF(road!$E$111&lt;&gt;0,road!$E$111,"  ")</f>
        <v>5797364</v>
      </c>
      <c r="E23" s="190">
        <f>IF(road!$E$118&lt;&gt;0,road!$E$118,"  ")</f>
        <v>4069723.3618999999</v>
      </c>
      <c r="F23" s="711" t="str">
        <f>IF(AND(road!E118=0,$F$69&gt;=0)," ",IF(AND(E23&gt;0,$F$69=0)," ",IF(AND(E23&gt;0,$F$69&gt;0),ROUND(E23/$F$69*1000,3))))</f>
        <v xml:space="preserve"> </v>
      </c>
    </row>
    <row r="24" spans="1:6" ht="15.75">
      <c r="A24" s="190" t="str">
        <f>IF((inputPrYr!$B19&gt;"  "),(inputPrYr!$B19),"  ")</f>
        <v>Multi-year Cap Imp (17)</v>
      </c>
      <c r="B24" s="189" t="str">
        <f>IF((inputPrYr!C19&gt;0),(inputPrYr!C19),"  ")</f>
        <v>19-120</v>
      </c>
      <c r="C24" s="182">
        <f>IF('MultiYr-Ment Health'!C82&gt;0,'MultiYr-Ment Health'!C82,"  ")</f>
        <v>10</v>
      </c>
      <c r="D24" s="190">
        <f>IF('MultiYr-Ment Health'!$E$34&lt;&gt;0,'MultiYr-Ment Health'!$E$34,"  ")</f>
        <v>1931520</v>
      </c>
      <c r="E24" s="190">
        <f>IF('MultiYr-Ment Health'!$E$41&lt;&gt;0,'MultiYr-Ment Health'!$E$41,"  ")</f>
        <v>893650.06</v>
      </c>
      <c r="F24" s="711" t="str">
        <f>IF(AND('MultiYr-Ment Health'!E41=0,$F$69&gt;=0)," ",IF(AND(E24&gt;0,$F$69=0)," ",IF(AND(E24&gt;0,$F$69&gt;0),ROUND(E24/$F$69*1000,3))))</f>
        <v xml:space="preserve"> </v>
      </c>
    </row>
    <row r="25" spans="1:6" ht="15.75">
      <c r="A25" s="190" t="str">
        <f>IF((inputPrYr!$B20&gt;"  "),(inputPrYr!$B20),"  ")</f>
        <v>Mental Health (23)</v>
      </c>
      <c r="B25" s="189" t="str">
        <f>IF((inputPrYr!C20&gt;0),(inputPrYr!C20),"  ")</f>
        <v>19-4004</v>
      </c>
      <c r="C25" s="182">
        <f>IF('MultiYr-Ment Health'!C82&gt;0,'MultiYr-Ment Health'!C82,"  ")</f>
        <v>10</v>
      </c>
      <c r="D25" s="190">
        <f>IF('MultiYr-Ment Health'!$E$74&lt;&gt;0,'MultiYr-Ment Health'!$E$74,"  ")</f>
        <v>325000</v>
      </c>
      <c r="E25" s="190">
        <f>IF('MultiYr-Ment Health'!$E$81&lt;&gt;0,'MultiYr-Ment Health'!$E$81,"  ")</f>
        <v>278368.07</v>
      </c>
      <c r="F25" s="711" t="str">
        <f>IF(AND('MultiYr-Ment Health'!E81=0,$F$69&gt;=0)," ",IF(AND(E25&gt;0,$F$69=0)," ",IF(AND(E25&gt;0,$F$69&gt;0),ROUND(E25/$F$69*1000,3))))</f>
        <v xml:space="preserve"> </v>
      </c>
    </row>
    <row r="26" spans="1:6" ht="15.75">
      <c r="A26" s="190" t="str">
        <f>IF((inputPrYr!$B21&gt;"  "),(inputPrYr!$B21),"  ")</f>
        <v>Newman Hospital (25)</v>
      </c>
      <c r="B26" s="189" t="str">
        <f>IF((inputPrYr!C21&gt;0),(inputPrYr!C21),"  ")</f>
        <v xml:space="preserve">  </v>
      </c>
      <c r="C26" s="182">
        <f>IF('NHosp-Noxious'!C81&gt;0,'NHosp-Noxious'!C81,"  ")</f>
        <v>11</v>
      </c>
      <c r="D26" s="190">
        <f>IF('NHosp-Noxious'!$E$33&lt;&gt;0,'NHosp-Noxious'!$E$33,"  ")</f>
        <v>425000</v>
      </c>
      <c r="E26" s="190">
        <f>IF('NHosp-Noxious'!$E$40&lt;&gt;0,'NHosp-Noxious'!$E$40,"  ")</f>
        <v>378955.56</v>
      </c>
      <c r="F26" s="711" t="str">
        <f>IF(AND('NHosp-Noxious'!E40=0,$F$69&gt;=0)," ",IF(AND(E26&gt;0,$F$69=0)," ",IF(AND(E26&gt;0,$F$69&gt;0),ROUND(E26/$F$69*1000,3))))</f>
        <v xml:space="preserve"> </v>
      </c>
    </row>
    <row r="27" spans="1:6" ht="15.75">
      <c r="A27" s="190" t="str">
        <f>IF((inputPrYr!$B22&gt;"  "),(inputPrYr!$B22),"  ")</f>
        <v>Noxious Weeds (26)</v>
      </c>
      <c r="B27" s="189" t="str">
        <f>IF((inputPrYr!C22&gt;0),(inputPrYr!C22),"  ")</f>
        <v>2-1318</v>
      </c>
      <c r="C27" s="182">
        <f>IF('NHosp-Noxious'!C81&gt;0,'NHosp-Noxious'!C81,"  ")</f>
        <v>11</v>
      </c>
      <c r="D27" s="190">
        <f>IF('NHosp-Noxious'!$E$73&lt;&gt;0,'NHosp-Noxious'!$E$73,"  ")</f>
        <v>312245</v>
      </c>
      <c r="E27" s="190">
        <f>IF('NHosp-Noxious'!$E$80&lt;&gt;0,'NHosp-Noxious'!$E$80,"  ")</f>
        <v>163047.59</v>
      </c>
      <c r="F27" s="711" t="str">
        <f>IF(AND('NHosp-Noxious'!E80=0,$F$69&gt;=0)," ",IF(AND(E27&gt;0,$F$69=0)," ",IF(AND(E27&gt;0,$F$69&gt;0),ROUND(E27/$F$69*1000,3))))</f>
        <v xml:space="preserve"> </v>
      </c>
    </row>
    <row r="28" spans="1:6" ht="15.75">
      <c r="A28" s="190" t="str">
        <f>IF((inputPrYr!$B23&gt;"  "),(inputPrYr!$B23),"  ")</f>
        <v>Hetlinger Development (28)</v>
      </c>
      <c r="B28" s="189" t="str">
        <f>IF((inputPrYr!C23&gt;0),(inputPrYr!C23),"  ")</f>
        <v>19-4004</v>
      </c>
      <c r="C28" s="182">
        <f>IF('Hetling-Sp Brg1135'!C81&gt;0,'Hetling-Sp Brg1135'!C81,"  ")</f>
        <v>12</v>
      </c>
      <c r="D28" s="190">
        <f>IF('Hetling-Sp Brg1135'!$E$33&lt;&gt;0,'Hetling-Sp Brg1135'!$E$33,"  ")</f>
        <v>20000</v>
      </c>
      <c r="E28" s="190">
        <f>IF('Hetling-Sp Brg1135'!$E$40&lt;&gt;0,'Hetling-Sp Brg1135'!$E$40,"  ")</f>
        <v>16505.95</v>
      </c>
      <c r="F28" s="711" t="str">
        <f>IF(AND('Hetling-Sp Brg1135'!E40=0,$F$69&gt;=0)," ",IF(AND(E28&gt;0,$F$69=0)," ",IF(AND(E28&gt;0,$F$69&gt;0),ROUND(E28/$F$69*1000,3))))</f>
        <v xml:space="preserve"> </v>
      </c>
    </row>
    <row r="29" spans="1:6" ht="15.75">
      <c r="A29" s="190" t="str">
        <f>IF((inputPrYr!$B24&gt;"  "),(inputPrYr!$B24),"  ")</f>
        <v>Special Bridge 1135 (33)</v>
      </c>
      <c r="B29" s="189" t="str">
        <f>IF((inputPrYr!C24&gt;0),(inputPrYr!C24),"  ")</f>
        <v>68-1135</v>
      </c>
      <c r="C29" s="182">
        <f>IF('Hetling-Sp Brg1135'!C81&gt;0,'Hetling-Sp Brg1135'!C81,"  ")</f>
        <v>12</v>
      </c>
      <c r="D29" s="190">
        <f>IF('Hetling-Sp Brg1135'!$E$73&lt;&gt;0,'Hetling-Sp Brg1135'!$E$73,"  ")</f>
        <v>671719</v>
      </c>
      <c r="E29" s="190">
        <f>IF('Hetling-Sp Brg1135'!$E$80&lt;&gt;0,'Hetling-Sp Brg1135'!$E$80,"  ")</f>
        <v>353257.91000000003</v>
      </c>
      <c r="F29" s="711" t="str">
        <f>IF(AND('Hetling-Sp Brg1135'!E80=0,$F$69&gt;=0)," ",IF(AND(E29&gt;0,$F$69=0)," ",IF(AND(E29&gt;0,$F$69&gt;0),ROUND(E29/$F$69*1000,3))))</f>
        <v xml:space="preserve"> </v>
      </c>
    </row>
    <row r="30" spans="1:6" ht="15.75">
      <c r="A30" s="190" t="str">
        <f>IF((inputPrYr!$B25&gt;"  "),(inputPrYr!$B25),"  ")</f>
        <v>Special R&amp;B 559A (41)</v>
      </c>
      <c r="B30" s="189" t="str">
        <f>IF((inputPrYr!C25&gt;0),(inputPrYr!C25),"  ")</f>
        <v>68-141g</v>
      </c>
      <c r="C30" s="182">
        <f>IF('Spec R&amp;B-Tort'!C81&gt;0,'Spec R&amp;B-Tort'!C81,"  ")</f>
        <v>13</v>
      </c>
      <c r="D30" s="190">
        <f>IF('Spec R&amp;B-Tort'!$E$33&lt;&gt;0,'Spec R&amp;B-Tort'!$E$33,"  ")</f>
        <v>346000</v>
      </c>
      <c r="E30" s="190">
        <f>IF('Spec R&amp;B-Tort'!$E$40&lt;&gt;0,'Spec R&amp;B-Tort'!$E$40,"  ")</f>
        <v>329712.71999999997</v>
      </c>
      <c r="F30" s="711" t="str">
        <f>IF(AND('Spec R&amp;B-Tort'!E40=0,$F$69&gt;=0)," ",IF(AND(E30&gt;0,$F$69=0)," ",IF(AND(E30&gt;0,$F$69&gt;0),ROUND(E30/$F$69*1000,3))))</f>
        <v xml:space="preserve"> </v>
      </c>
    </row>
    <row r="31" spans="1:6" ht="15.75">
      <c r="A31" s="190" t="str">
        <f>IF((inputPrYr!$B26&gt;"  "),(inputPrYr!$B26),"  ")</f>
        <v xml:space="preserve">Tort Liability (53) </v>
      </c>
      <c r="B31" s="189" t="str">
        <f>IF((inputPrYr!C26&gt;0),(inputPrYr!C26),"  ")</f>
        <v>75-6110</v>
      </c>
      <c r="C31" s="182">
        <f>IF('Spec R&amp;B-Tort'!C81&gt;0,'Spec R&amp;B-Tort'!C81,"  ")</f>
        <v>13</v>
      </c>
      <c r="D31" s="190">
        <f>IF('Spec R&amp;B-Tort'!$E$73&lt;&gt;0,'Spec R&amp;B-Tort'!$E$73,"  ")</f>
        <v>280000</v>
      </c>
      <c r="E31" s="190">
        <f>IF('Spec R&amp;B-Tort'!$E$80&lt;&gt;0,'Spec R&amp;B-Tort'!$E$80,"  ")</f>
        <v>166177.84</v>
      </c>
      <c r="F31" s="711" t="str">
        <f>IF(AND('Spec R&amp;B-Tort'!E80=0,$F$69&gt;=0)," ",IF(AND(E31&gt;0,$F$69=0)," ",IF(AND(E31&gt;0,$F$69&gt;0),ROUND(E31/$F$69*1000,3))))</f>
        <v xml:space="preserve"> </v>
      </c>
    </row>
    <row r="32" spans="1:6" ht="15.75">
      <c r="A32" s="190" t="str">
        <f>IF((inputPrYr!$B27&gt;"  "),(inputPrYr!$B27),"  ")</f>
        <v>Health Department (66)</v>
      </c>
      <c r="B32" s="189" t="str">
        <f>IF((inputPrYr!C27&gt;0),(inputPrYr!C27),"  ")</f>
        <v>65-204</v>
      </c>
      <c r="C32" s="182">
        <f>IF('Health Dept-B&amp;I'!C81&gt;0,'Health Dept-B&amp;I'!C81,"  ")</f>
        <v>14</v>
      </c>
      <c r="D32" s="190">
        <f>IF('Health Dept-B&amp;I'!$E$33&lt;&gt;0,'Health Dept-B&amp;I'!$E$33,"  ")</f>
        <v>580000</v>
      </c>
      <c r="E32" s="190">
        <f>IF('Health Dept-B&amp;I'!$E$40&lt;&gt;0,'Health Dept-B&amp;I'!$E$40,"  ")</f>
        <v>495135.4</v>
      </c>
      <c r="F32" s="711" t="str">
        <f>IF(AND('Health Dept-B&amp;I'!E40=0,$F$69&gt;=0)," ",IF(AND(E32&gt;0,$F$69=0)," ",IF(AND(E32&gt;0,$F$69&gt;0),ROUND(E32/$F$69*1000,3))))</f>
        <v xml:space="preserve"> </v>
      </c>
    </row>
    <row r="33" spans="1:6" ht="15.75">
      <c r="A33" s="190" t="str">
        <f>IF((inputPrYr!$B28&gt;"  "),(inputPrYr!$B28),"  ")</f>
        <v>Bond &amp; Interest (50)</v>
      </c>
      <c r="B33" s="189" t="str">
        <f>IF((inputPrYr!C28&gt;0),(inputPrYr!C28),"  ")</f>
        <v xml:space="preserve">  </v>
      </c>
      <c r="C33" s="182">
        <f>IF('Health Dept-B&amp;I'!C81&gt;0,'Health Dept-B&amp;I'!C81,"  ")</f>
        <v>14</v>
      </c>
      <c r="D33" s="709" t="str">
        <f>IF('Health Dept-B&amp;I'!$E$73&lt;&gt;0,'Health Dept-B&amp;I'!$E$73,"  ")</f>
        <v xml:space="preserve">  </v>
      </c>
      <c r="E33" s="710">
        <f>IF('Health Dept-B&amp;I'!$E$80&lt;&gt;0,'Health Dept-B&amp;I'!$E$80,0)</f>
        <v>0</v>
      </c>
      <c r="F33" s="711" t="str">
        <f>IF(AND('Health Dept-B&amp;I'!E80=0,$F$69&gt;=0)," ",IF(AND(E33&gt;0,$F$69=0)," ",IF(AND(E33&gt;0,$F$69&gt;0),ROUND(E33/$F$69*1000,3))))</f>
        <v xml:space="preserve"> </v>
      </c>
    </row>
    <row r="34" spans="1:6" ht="15.75">
      <c r="A34" s="190" t="str">
        <f>IF((inputPrYr!$B29&gt;"  "),(inputPrYr!$B29),"  ")</f>
        <v>No Fund Warrant (51)</v>
      </c>
      <c r="B34" s="189" t="str">
        <f>IF((inputPrYr!C29&gt;0),(inputPrYr!C29),"  ")</f>
        <v xml:space="preserve">  </v>
      </c>
      <c r="C34" s="182">
        <f>IF('No Fund W'!C81&gt;0,'No Fund W'!C81,"  ")</f>
        <v>15</v>
      </c>
      <c r="D34" s="709" t="str">
        <f>IF('No Fund W'!$E$33&lt;&gt;0,'No Fund W'!$E$33,"  ")</f>
        <v xml:space="preserve">  </v>
      </c>
      <c r="E34" s="710">
        <f>IF('No Fund W'!$E$40&lt;&gt;0,'No Fund W'!$E$40,0)</f>
        <v>0</v>
      </c>
      <c r="F34" s="711" t="str">
        <f>IF(AND('No Fund W'!E40=0,$F$69&gt;=0)," ",IF(AND(E34&gt;0,$F$69=0)," ",IF(AND(E34&gt;0,$F$69&gt;0),ROUND(E34/$F$69*1000,3))))</f>
        <v xml:space="preserve"> </v>
      </c>
    </row>
    <row r="35" spans="1:6" ht="15.75">
      <c r="A35" s="190" t="str">
        <f>IF((inputPrYr!$B30&gt;"  "),(inputPrYr!$B30),"  ")</f>
        <v xml:space="preserve">  </v>
      </c>
      <c r="B35" s="189" t="str">
        <f>IF((inputPrYr!C30&gt;0),(inputPrYr!C30),"  ")</f>
        <v xml:space="preserve">  </v>
      </c>
      <c r="C35" s="182">
        <f>IF('No Fund W'!C81&gt;0,'No Fund W'!C81,"  ")</f>
        <v>15</v>
      </c>
      <c r="D35" s="709" t="str">
        <f>IF('No Fund W'!$E$73&lt;&gt;0,'No Fund W'!$E$73,"  ")</f>
        <v xml:space="preserve">  </v>
      </c>
      <c r="E35" s="710">
        <f>IF('No Fund W'!$E$80&lt;&gt;0,'No Fund W'!$E$80,0)</f>
        <v>0</v>
      </c>
      <c r="F35" s="711" t="str">
        <f>IF(AND('No Fund W'!E80=0,$F$69&gt;=0)," ",IF(AND(E35&gt;0,$F$69=0)," ",IF(AND(E35&gt;0,$F$69&gt;0),ROUND(E35/$F$69*1000,3))))</f>
        <v xml:space="preserve"> </v>
      </c>
    </row>
    <row r="36" spans="1:6" ht="15.75">
      <c r="A36" s="190" t="str">
        <f>IF((inputPrYr!$B31&gt;"  "),(inputPrYr!$B31),"  ")</f>
        <v xml:space="preserve">  </v>
      </c>
      <c r="B36" s="189" t="str">
        <f>IF((inputPrYr!C31&gt;0),(inputPrYr!C31),"  ")</f>
        <v xml:space="preserve">  </v>
      </c>
      <c r="C36" s="182" t="str">
        <f>IF('levy page16'!C81&gt;0,'levy page16'!C81,"  ")</f>
        <v xml:space="preserve">  </v>
      </c>
      <c r="D36" s="709" t="str">
        <f>IF('levy page16'!$E$33&lt;&gt;0,'levy page16'!$E$33,"  ")</f>
        <v xml:space="preserve">  </v>
      </c>
      <c r="E36" s="710">
        <f>IF('levy page16'!$E$40&lt;&gt;0,'levy page16'!$E$40,0)</f>
        <v>0</v>
      </c>
      <c r="F36" s="711" t="str">
        <f>IF(AND('levy page16'!E40=0,$F$69&gt;=0)," ",IF(AND(E36&gt;0,$F$69=0)," ",IF(AND(E36&gt;0,$F$69&gt;0),ROUND(E36/$F$69*1000,3))))</f>
        <v xml:space="preserve"> </v>
      </c>
    </row>
    <row r="37" spans="1:6" ht="15.75">
      <c r="A37" s="190" t="str">
        <f>IF((inputPrYr!$B32&gt;"  "),(inputPrYr!$B32),"  ")</f>
        <v xml:space="preserve">  </v>
      </c>
      <c r="B37" s="189" t="str">
        <f>IF((inputPrYr!C32&gt;0),(inputPrYr!C32),"  ")</f>
        <v xml:space="preserve">  </v>
      </c>
      <c r="C37" s="182" t="str">
        <f>IF('levy page16'!C81&gt;0,'levy page16'!C81,"  ")</f>
        <v xml:space="preserve">  </v>
      </c>
      <c r="D37" s="709" t="str">
        <f>IF('levy page16'!$E$73&lt;&gt;0,'levy page16'!$E$73,"  ")</f>
        <v xml:space="preserve">  </v>
      </c>
      <c r="E37" s="710">
        <f>IF('levy page16'!$E$80&lt;&gt;0,'levy page16'!$E$80,0)</f>
        <v>0</v>
      </c>
      <c r="F37" s="711" t="str">
        <f>IF(AND('levy page16'!E80=0,$F$69&gt;=0)," ",IF(AND(E37&gt;0,$F$69=0)," ",IF(AND(E37&gt;0,$F$69&gt;0),ROUND(E37/$F$69*1000,3))))</f>
        <v xml:space="preserve"> </v>
      </c>
    </row>
    <row r="38" spans="1:6" ht="15.75" hidden="1">
      <c r="A38" s="190" t="str">
        <f>IF((inputPrYr!$B33&gt;"  "),(inputPrYr!$B33),"  ")</f>
        <v xml:space="preserve">  </v>
      </c>
      <c r="B38" s="189" t="str">
        <f>IF((inputPrYr!C33&gt;0),(inputPrYr!C33),"  ")</f>
        <v xml:space="preserve">  </v>
      </c>
      <c r="C38" s="182" t="str">
        <f>IF('levy page17'!C81&gt;0,'levy page17'!C81,"  ")</f>
        <v xml:space="preserve">  </v>
      </c>
      <c r="D38" s="709" t="str">
        <f>IF('levy page17'!$E$33&lt;&gt;0,'levy page17'!$E$33,"  ")</f>
        <v xml:space="preserve">  </v>
      </c>
      <c r="E38" s="710">
        <f>IF('levy page17'!$E$40&lt;&gt;0,'levy page17'!$E$40,0)</f>
        <v>0</v>
      </c>
      <c r="F38" s="711" t="str">
        <f>IF(AND('levy page17'!E40=0,$F$69&gt;=0)," ",IF(AND(E38&gt;0,$F$69=0)," ",IF(AND(E38&gt;0,$F$69&gt;0),ROUND(E38/$F$69*1000,3))))</f>
        <v xml:space="preserve"> </v>
      </c>
    </row>
    <row r="39" spans="1:6" ht="15.75" hidden="1">
      <c r="A39" s="190" t="str">
        <f>IF((inputPrYr!$B34&gt;"  "),(inputPrYr!$B34),"  ")</f>
        <v xml:space="preserve">  </v>
      </c>
      <c r="B39" s="189" t="str">
        <f>IF((inputPrYr!C34&gt;0),(inputPrYr!C34),"  ")</f>
        <v xml:space="preserve">  </v>
      </c>
      <c r="C39" s="182" t="str">
        <f>IF('levy page17'!C81&gt;0,'levy page17'!C81,"  ")</f>
        <v xml:space="preserve">  </v>
      </c>
      <c r="D39" s="709" t="str">
        <f>IF('levy page17'!$E$73&lt;&gt;0,'levy page17'!$E$73,"  ")</f>
        <v xml:space="preserve">  </v>
      </c>
      <c r="E39" s="710">
        <f>IF('levy page17'!$E$80&lt;&gt;0,'levy page17'!$E$80,0)</f>
        <v>0</v>
      </c>
      <c r="F39" s="711" t="str">
        <f>IF(AND('levy page17'!E80=0,$F$69&gt;=0)," ",IF(AND(E39&gt;0,$F$69=0)," ",IF(AND(E39&gt;0,$F$69&gt;0),ROUND(E39/$F$69*1000,3))))</f>
        <v xml:space="preserve"> </v>
      </c>
    </row>
    <row r="40" spans="1:6" ht="15.75" hidden="1">
      <c r="A40" s="190" t="str">
        <f>IF((inputPrYr!$B35&gt;"  "),(inputPrYr!$B35),"  ")</f>
        <v xml:space="preserve">  </v>
      </c>
      <c r="B40" s="189" t="str">
        <f>IF((inputPrYr!C35&gt;0),(inputPrYr!C35),"  ")</f>
        <v xml:space="preserve">  </v>
      </c>
      <c r="C40" s="182" t="str">
        <f>IF('levy page18'!C81&gt;0,'levy page18'!C81,"  ")</f>
        <v xml:space="preserve">  </v>
      </c>
      <c r="D40" s="709" t="str">
        <f>IF('levy page18'!$E$33&lt;&gt;0,'levy page18'!$E$33,"  ")</f>
        <v xml:space="preserve">  </v>
      </c>
      <c r="E40" s="710">
        <f>IF('levy page18'!$E$40&lt;&gt;0,'levy page18'!$E$40,0)</f>
        <v>0</v>
      </c>
      <c r="F40" s="711" t="str">
        <f>IF(AND('levy page18'!E40=0,$F$69&gt;=0)," ",IF(AND(E40&gt;0,$F$69=0)," ",IF(AND(E40&gt;0,$F$69&gt;0),ROUND(E40/$F$69*1000,3))))</f>
        <v xml:space="preserve"> </v>
      </c>
    </row>
    <row r="41" spans="1:6" ht="15.75" hidden="1">
      <c r="A41" s="190" t="str">
        <f>IF((inputPrYr!$B36&gt;"  "),(inputPrYr!$B36),"  ")</f>
        <v xml:space="preserve">  </v>
      </c>
      <c r="B41" s="189" t="str">
        <f>IF((inputPrYr!C36&gt;0),(inputPrYr!C36),"  ")</f>
        <v xml:space="preserve">  </v>
      </c>
      <c r="C41" s="182" t="str">
        <f>IF('levy page18'!C81&gt;0,'levy page18'!C81,"  ")</f>
        <v xml:space="preserve">  </v>
      </c>
      <c r="D41" s="709" t="str">
        <f>IF('levy page18'!$E$73&lt;&gt;0,'levy page18'!$E$73,"  ")</f>
        <v xml:space="preserve">  </v>
      </c>
      <c r="E41" s="710">
        <f>IF('levy page18'!$E$80&lt;&gt;0,'levy page18'!$E$80,0)</f>
        <v>0</v>
      </c>
      <c r="F41" s="711" t="str">
        <f>IF(AND('levy page18'!E80=0,$F$69&gt;=0)," ",IF(AND(E41&gt;0,$F$69=0)," ",IF(AND(E41&gt;0,$F$69&gt;0),ROUND(E41/$F$69*1000,3))))</f>
        <v xml:space="preserve"> </v>
      </c>
    </row>
    <row r="42" spans="1:6" ht="15.75" hidden="1">
      <c r="A42" s="190" t="str">
        <f>IF((inputPrYr!$B37&gt;"  "),(inputPrYr!$B37),"  ")</f>
        <v xml:space="preserve">  </v>
      </c>
      <c r="B42" s="189" t="str">
        <f>IF((inputPrYr!C37&gt;0),(inputPrYr!C37),"  ")</f>
        <v xml:space="preserve">  </v>
      </c>
      <c r="C42" s="182" t="str">
        <f>IF('levy page19'!C81&gt;0,'levy page19'!C81,"  ")</f>
        <v xml:space="preserve">  </v>
      </c>
      <c r="D42" s="709" t="str">
        <f>IF('levy page19'!E33&lt;&gt;0,'levy page19'!#REF!,"  ")</f>
        <v xml:space="preserve">  </v>
      </c>
      <c r="E42" s="710">
        <f>IF('levy page19'!E40&lt;&gt;0,'levy page19'!#REF!,0)</f>
        <v>0</v>
      </c>
      <c r="F42" s="711" t="str">
        <f>IF(AND('levy page19'!E40=0,$F$69&gt;=0)," ",IF(AND(E42&gt;0,$F$69=0)," ",IF(AND(E42&gt;0,$F$69&gt;0),ROUND(E42/$F$69*1000,3))))</f>
        <v xml:space="preserve"> </v>
      </c>
    </row>
    <row r="43" spans="1:6" ht="15.75" hidden="1">
      <c r="A43" s="190" t="str">
        <f>IF((inputPrYr!$B38&gt;"  "),(inputPrYr!$B38),"  ")</f>
        <v xml:space="preserve">  </v>
      </c>
      <c r="B43" s="189" t="str">
        <f>IF((inputPrYr!C38&gt;0),(inputPrYr!C38),"  ")</f>
        <v xml:space="preserve">  </v>
      </c>
      <c r="C43" s="182" t="str">
        <f>IF('levy page19'!C81&gt;0,'levy page19'!C81,"  ")</f>
        <v xml:space="preserve">  </v>
      </c>
      <c r="D43" s="709" t="str">
        <f>IF('levy page19'!E73&lt;&gt;0,'levy page19'!#REF!,"  ")</f>
        <v xml:space="preserve">  </v>
      </c>
      <c r="E43" s="710">
        <f>IF('levy page19'!E80&lt;&gt;0,'levy page19'!#REF!,0)</f>
        <v>0</v>
      </c>
      <c r="F43" s="711" t="str">
        <f>IF(AND('levy page19'!E80=0,$F$69&gt;=0)," ",IF(AND(E43&gt;0,$F$69=0)," ",IF(AND(E43&gt;0,$F$69&gt;0),ROUND(E43/$F$69*1000,3))))</f>
        <v xml:space="preserve"> </v>
      </c>
    </row>
    <row r="44" spans="1:6" ht="15.75" hidden="1">
      <c r="A44" s="190" t="str">
        <f>IF((inputPrYr!$B39&gt;"  "),(inputPrYr!$B39),"  ")</f>
        <v xml:space="preserve">  </v>
      </c>
      <c r="B44" s="189" t="str">
        <f>IF((inputPrYr!C39&gt;0),(inputPrYr!C39),"  ")</f>
        <v xml:space="preserve">  </v>
      </c>
      <c r="C44" s="182" t="str">
        <f>IF('levy page20'!C81&gt;0,'levy page20'!C81,"  ")</f>
        <v xml:space="preserve">  </v>
      </c>
      <c r="D44" s="709" t="str">
        <f>IF('levy page20'!$E$33&lt;&gt;0,'levy page20'!$E$33,"  ")</f>
        <v xml:space="preserve">  </v>
      </c>
      <c r="E44" s="710">
        <f>IF('levy page20'!$E$40&lt;&gt;0,'levy page20'!$E$40,0)</f>
        <v>0</v>
      </c>
      <c r="F44" s="711" t="str">
        <f>IF(AND('levy page20'!E40=0,$F$69&gt;=0)," ",IF(AND(E44&gt;0,$F$69=0)," ",IF(AND(E44&gt;0,$F$69&gt;0),ROUND(E44/$F$69*1000,3))))</f>
        <v xml:space="preserve"> </v>
      </c>
    </row>
    <row r="45" spans="1:6" ht="15.75">
      <c r="A45" s="190" t="str">
        <f>IF((inputPrYr!$B40&gt;"  "),(inputPrYr!$B40),"  ")</f>
        <v xml:space="preserve">  </v>
      </c>
      <c r="B45" s="189" t="str">
        <f>IF((inputPrYr!C40&gt;0),(inputPrYr!C40),"  ")</f>
        <v xml:space="preserve">  </v>
      </c>
      <c r="C45" s="182" t="str">
        <f>IF('levy page20'!C81&gt;0,'levy page20'!C81,"  ")</f>
        <v xml:space="preserve">  </v>
      </c>
      <c r="D45" s="709" t="str">
        <f>IF('levy page20'!$E$73&lt;&gt;0,'levy page20'!$E$73,"  ")</f>
        <v xml:space="preserve">  </v>
      </c>
      <c r="E45" s="710">
        <f>IF('levy page20'!$E$80&lt;&gt;0,'levy page20'!$E$80,0)</f>
        <v>0</v>
      </c>
      <c r="F45" s="711" t="str">
        <f>IF(AND('levy page20'!E80=0,$F$69&gt;=0)," ",IF(AND(E45&gt;0,$F$69=0)," ",IF(AND(E45&gt;0,$F$69&gt;0),ROUND(E45/$F$69*1000,3))))</f>
        <v xml:space="preserve"> </v>
      </c>
    </row>
    <row r="46" spans="1:6">
      <c r="A46" s="190" t="str">
        <f>IF((inputPrYr!$B43&gt;"  "),(inputPrYr!$B43),"  ")</f>
        <v>Community Corrections (12)</v>
      </c>
      <c r="B46" s="193"/>
      <c r="C46" s="182">
        <f>IF('no levy page21'!C66&gt;0,'no levy page21'!C66,"  ")</f>
        <v>16</v>
      </c>
      <c r="D46" s="709">
        <f>IF('no levy page21'!$E$29&lt;&gt;0,'no levy page21'!$E$29,"  ")</f>
        <v>351495</v>
      </c>
      <c r="E46" s="712"/>
      <c r="F46" s="712"/>
    </row>
    <row r="47" spans="1:6">
      <c r="A47" s="190" t="str">
        <f>IF((inputPrYr!$B44&gt;"  "),(inputPrYr!$B44),"  ")</f>
        <v>Cert Grant (13)</v>
      </c>
      <c r="B47" s="193"/>
      <c r="C47" s="182">
        <f>IF('no levy page21'!C66&gt;0,'no levy page21'!C66,"  ")</f>
        <v>16</v>
      </c>
      <c r="D47" s="709">
        <f>IF('no levy page21'!$E$60&lt;&gt;0,'no levy page21'!$E$60,"  ")</f>
        <v>3029</v>
      </c>
      <c r="E47" s="712"/>
      <c r="F47" s="712"/>
    </row>
    <row r="48" spans="1:6">
      <c r="A48" s="190" t="str">
        <f>IF((inputPrYr!$B45&gt;"  "),(inputPrYr!$B45),"  ")</f>
        <v>Court Trustee (14)</v>
      </c>
      <c r="B48" s="193"/>
      <c r="C48" s="182">
        <f>IF('Com Corr-Cert Gr'!C66&gt;0,'Com Corr-Cert Gr'!C66,"  ")</f>
        <v>17</v>
      </c>
      <c r="D48" s="709">
        <f>IF('Com Corr-Cert Gr'!$E$29&lt;&gt;0,'Com Corr-Cert Gr'!$E$29,"  ")</f>
        <v>62578</v>
      </c>
      <c r="E48" s="712"/>
      <c r="F48" s="712"/>
    </row>
    <row r="49" spans="1:6">
      <c r="A49" s="729" t="str">
        <f>IF((inputPrYr!$B46&gt;"  "),(inputPrYr!$B46),"  ")</f>
        <v>JV Community Initiative Grant (15)</v>
      </c>
      <c r="B49" s="193"/>
      <c r="C49" s="182">
        <f>IF('Com Corr-Cert Gr'!C66&gt;0,'Com Corr-Cert Gr'!C66,"  ")</f>
        <v>17</v>
      </c>
      <c r="D49" s="709">
        <f>IF('Com Corr-Cert Gr'!$E$60&lt;&gt;0,'Com Corr-Cert Gr'!$E$60,"  ")</f>
        <v>398569</v>
      </c>
      <c r="E49" s="712"/>
      <c r="F49" s="712"/>
    </row>
    <row r="50" spans="1:6">
      <c r="A50" s="190" t="str">
        <f>IF((inputPrYr!$B47&gt;"  "),(inputPrYr!$B47),"  ")</f>
        <v>Surveillance Program (16)</v>
      </c>
      <c r="B50" s="193"/>
      <c r="C50" s="182">
        <f>IF('Surv -Citiz Rev'!C66&gt;0,'Surv -Citiz Rev'!C66,"  ")</f>
        <v>18</v>
      </c>
      <c r="D50" s="709">
        <f>IF('Surv -Citiz Rev'!$E$29&lt;&gt;0,'Surv -Citiz Rev'!$E$29,"  ")</f>
        <v>24000</v>
      </c>
      <c r="E50" s="712"/>
      <c r="F50" s="712"/>
    </row>
    <row r="51" spans="1:6">
      <c r="A51" s="190" t="str">
        <f>IF((inputPrYr!$B48&gt;"  "),(inputPrYr!$B48),"  ")</f>
        <v>Citizen Review Board (18)</v>
      </c>
      <c r="B51" s="193"/>
      <c r="C51" s="182">
        <f>IF('Surv -Citiz Rev'!C66&gt;0,'Surv -Citiz Rev'!C66,"  ")</f>
        <v>18</v>
      </c>
      <c r="D51" s="709">
        <f>IF('Surv -Citiz Rev'!$E$60&lt;&gt;0,'Surv -Citiz Rev'!$E$60,"  ")</f>
        <v>16500</v>
      </c>
      <c r="E51" s="712"/>
      <c r="F51" s="712"/>
    </row>
    <row r="52" spans="1:6">
      <c r="A52" s="190" t="str">
        <f>IF((inputPrYr!$B49&gt;"  "),(inputPrYr!$B49),"  ")</f>
        <v>911 Service Fund (19)</v>
      </c>
      <c r="B52" s="193"/>
      <c r="C52" s="182">
        <f>IF('911-Reg Deeds'!C66&gt;0,'911-Reg Deeds'!C66,"  ")</f>
        <v>19</v>
      </c>
      <c r="D52" s="709">
        <f>IF('911-Reg Deeds'!$E$29&lt;&gt;0,'911-Reg Deeds'!$E$29,"  ")</f>
        <v>26200</v>
      </c>
      <c r="E52" s="712"/>
      <c r="F52" s="712"/>
    </row>
    <row r="53" spans="1:6">
      <c r="A53" s="730" t="str">
        <f>IF((inputPrYr!$B50&gt;"  "),(inputPrYr!$B50),"  ")</f>
        <v>Register of Deeds Technology (36)</v>
      </c>
      <c r="B53" s="193"/>
      <c r="C53" s="182">
        <f>IF('911-Reg Deeds'!C66&gt;0,'911-Reg Deeds'!C66,"  ")</f>
        <v>19</v>
      </c>
      <c r="D53" s="709">
        <f>IF('911-Reg Deeds'!$E$60&lt;&gt;0,'911-Reg Deeds'!$E$60,"  ")</f>
        <v>50000</v>
      </c>
      <c r="E53" s="712"/>
      <c r="F53" s="712"/>
    </row>
    <row r="54" spans="1:6">
      <c r="A54" s="190" t="str">
        <f>IF((inputPrYr!$B51&gt;"  "),(inputPrYr!$B51),"  ")</f>
        <v>County Auto-Vehicle Dept (37)</v>
      </c>
      <c r="B54" s="193"/>
      <c r="C54" s="182">
        <f>IF('Co Auto-Prosec Tr'!C66&gt;0,'Co Auto-Prosec Tr'!C66,"  ")</f>
        <v>20</v>
      </c>
      <c r="D54" s="709">
        <f>IF('Co Auto-Prosec Tr'!$E$29&lt;&gt;0,'Co Auto-Prosec Tr'!$E$29,"  ")</f>
        <v>237338</v>
      </c>
      <c r="E54" s="712"/>
      <c r="F54" s="712"/>
    </row>
    <row r="55" spans="1:6">
      <c r="A55" s="190" t="str">
        <f>IF((inputPrYr!$B52&gt;"  "),(inputPrYr!$B52),"  ")</f>
        <v>Prosecutor Training (38)</v>
      </c>
      <c r="B55" s="193"/>
      <c r="C55" s="182">
        <f>IF('Co Auto-Prosec Tr'!C66&gt;0,'Co Auto-Prosec Tr'!C66,"  ")</f>
        <v>20</v>
      </c>
      <c r="D55" s="709">
        <f>IF('Co Auto-Prosec Tr'!$E$60&lt;&gt;0,'Co Auto-Prosec Tr'!$E$60,"  ")</f>
        <v>6000</v>
      </c>
      <c r="E55" s="712"/>
      <c r="F55" s="712"/>
    </row>
    <row r="56" spans="1:6">
      <c r="A56" s="190" t="str">
        <f>IF((inputPrYr!$B53&gt;"  "),(inputPrYr!$B53),"  ")</f>
        <v>Courthouse Bond &amp; Interest (44)</v>
      </c>
      <c r="B56" s="193"/>
      <c r="C56" s="182">
        <f>IF('Ct B&amp;I - Sales Tax Rev'!C67&gt;0,'Ct B&amp;I - Sales Tax Rev'!C67,"  ")</f>
        <v>21</v>
      </c>
      <c r="D56" s="709" t="str">
        <f>IF('Ct B&amp;I - Sales Tax Rev'!$E$30&lt;&gt;0,'Ct B&amp;I - Sales Tax Rev'!$E$30,"  ")</f>
        <v xml:space="preserve">  </v>
      </c>
      <c r="E56" s="712"/>
      <c r="F56" s="712"/>
    </row>
    <row r="57" spans="1:6">
      <c r="A57" s="190" t="str">
        <f>IF((inputPrYr!$B54&gt;"  "),(inputPrYr!$B54),"  ")</f>
        <v>Sales Tax Revenue (46)</v>
      </c>
      <c r="B57" s="193"/>
      <c r="C57" s="182">
        <f>IF('Ct B&amp;I - Sales Tax Rev'!C67&gt;0,'Ct B&amp;I - Sales Tax Rev'!C67,"  ")</f>
        <v>21</v>
      </c>
      <c r="D57" s="709" t="str">
        <f>IF('Ct B&amp;I - Sales Tax Rev'!$E$61&lt;&gt;0,'Ct B&amp;I - Sales Tax Rev'!$E$61,"  ")</f>
        <v xml:space="preserve">  </v>
      </c>
      <c r="E57" s="713"/>
      <c r="F57" s="713"/>
    </row>
    <row r="58" spans="1:6">
      <c r="A58" s="190" t="str">
        <f>IF((inputPrYr!$B55&gt;"  "),(inputPrYr!$B55),"  ")</f>
        <v>New Courthouse (47)</v>
      </c>
      <c r="B58" s="193"/>
      <c r="C58" s="182">
        <f>IF('New Ct - Ct Sales tax Surp'!C66&gt;0,'New Ct - Ct Sales tax Surp'!C66,"  ")</f>
        <v>22</v>
      </c>
      <c r="D58" s="709" t="str">
        <f>IF('New Ct - Ct Sales tax Surp'!$E$29&lt;&gt;0,'New Ct - Ct Sales tax Surp'!$E$29,"  ")</f>
        <v xml:space="preserve">  </v>
      </c>
      <c r="E58" s="713"/>
      <c r="F58" s="713"/>
    </row>
    <row r="59" spans="1:6">
      <c r="A59" s="730" t="str">
        <f>IF((inputPrYr!$B56&gt;"  "),(inputPrYr!$B56),"  ")</f>
        <v>Courthouse Sales Tax Surplus (52)</v>
      </c>
      <c r="B59" s="193"/>
      <c r="C59" s="182">
        <f>IF('New Ct - Ct Sales tax Surp'!C66&gt;0,'New Ct - Ct Sales tax Surp'!C66,"  ")</f>
        <v>22</v>
      </c>
      <c r="D59" s="709" t="str">
        <f>IF('New Ct - Ct Sales tax Surp'!$E$60&lt;&gt;0,'New Ct - Ct Sales tax Surp'!$E$60,"  ")</f>
        <v xml:space="preserve">  </v>
      </c>
      <c r="E59" s="713"/>
      <c r="F59" s="713"/>
    </row>
    <row r="60" spans="1:6">
      <c r="A60" s="190" t="str">
        <f>IF((inputPrYr!$B57&gt;"  "),(inputPrYr!$B57),"  ")</f>
        <v>Special Alcohol Fund (54)</v>
      </c>
      <c r="B60" s="193"/>
      <c r="C60" s="182">
        <f>IF('Spec Alch - Spec Parks'!C66&gt;0,'Spec Alch - Spec Parks'!C66,"  ")</f>
        <v>23</v>
      </c>
      <c r="D60" s="709">
        <f>IF('Spec Alch - Spec Parks'!$E$29&lt;&gt;0,'Spec Alch - Spec Parks'!$E$29,"  ")</f>
        <v>15000</v>
      </c>
      <c r="E60" s="713"/>
      <c r="F60" s="713"/>
    </row>
    <row r="61" spans="1:6">
      <c r="A61" s="190" t="str">
        <f>IF((inputPrYr!$B58&gt;"  "),(inputPrYr!$B58),"  ")</f>
        <v>Special Parks &amp; Rec (55)</v>
      </c>
      <c r="B61" s="187"/>
      <c r="C61" s="182">
        <f>IF('Spec Alch - Spec Parks'!C66&gt;0,'Spec Alch - Spec Parks'!C66,"  ")</f>
        <v>23</v>
      </c>
      <c r="D61" s="709">
        <f>IF('Spec Alch - Spec Parks'!$E$60&lt;&gt;0,'Spec Alch - Spec Parks'!$E$60,"  ")</f>
        <v>4533</v>
      </c>
      <c r="E61" s="713"/>
      <c r="F61" s="713"/>
    </row>
    <row r="62" spans="1:6">
      <c r="A62" s="190" t="str">
        <f>IF((inputPrYr!$B62&gt;"  "),(nonbudA!$A3),"  ")</f>
        <v>Non-Budgeted Funds-A</v>
      </c>
      <c r="B62" s="187"/>
      <c r="C62" s="182">
        <f>IF(nonbudA!$F$33&gt;0,nonbudA!$F$33,"  ")</f>
        <v>24</v>
      </c>
      <c r="D62" s="709"/>
      <c r="E62" s="713"/>
      <c r="F62" s="713"/>
    </row>
    <row r="63" spans="1:6">
      <c r="A63" s="190" t="str">
        <f>IF((inputPrYr!$B68&gt;"  "),(nonbudB!$A3),"  ")</f>
        <v>Non-Budgeted Funds-B</v>
      </c>
      <c r="B63" s="187"/>
      <c r="C63" s="182">
        <f>IF(nonbudB!$F$33&gt;0,nonbudB!$F$33,"  ")</f>
        <v>25</v>
      </c>
      <c r="D63" s="709"/>
      <c r="E63" s="713"/>
      <c r="F63" s="713"/>
    </row>
    <row r="64" spans="1:6">
      <c r="A64" s="190" t="str">
        <f>IF((inputPrYr!$B74&gt;"  "),(nonbudC!$A3),"  ")</f>
        <v xml:space="preserve">  </v>
      </c>
      <c r="B64" s="187"/>
      <c r="C64" s="182" t="str">
        <f>IF(nonbudC!$F$33&gt;0,nonbudC!$F$33,"  ")</f>
        <v xml:space="preserve">  </v>
      </c>
      <c r="D64" s="709"/>
      <c r="E64" s="713"/>
      <c r="F64" s="713"/>
    </row>
    <row r="65" spans="1:6">
      <c r="A65" s="190" t="str">
        <f>IF((inputPrYr!$B80&gt;"  "),(nonbudD!$A3),"  ")</f>
        <v xml:space="preserve">  </v>
      </c>
      <c r="B65" s="187"/>
      <c r="C65" s="182" t="str">
        <f>IF(nonbudD!$F$33&gt;0,nonbudD!$F$33,"  ")</f>
        <v xml:space="preserve">  </v>
      </c>
      <c r="D65" s="709"/>
      <c r="E65" s="713"/>
      <c r="F65" s="713"/>
    </row>
    <row r="66" spans="1:6" ht="14.25" customHeight="1" thickBot="1">
      <c r="A66" s="195" t="s">
        <v>158</v>
      </c>
      <c r="B66" s="194"/>
      <c r="C66" s="182" t="s">
        <v>52</v>
      </c>
      <c r="D66" s="714">
        <f>SUM(D21:D65)</f>
        <v>25009837</v>
      </c>
      <c r="E66" s="714">
        <f>SUM(E21:E45)</f>
        <v>15203232.450800002</v>
      </c>
      <c r="F66" s="715" t="str">
        <f>IF(SUM(F21:F45)=0,"",SUM(F21:F45))</f>
        <v/>
      </c>
    </row>
    <row r="67" spans="1:6" ht="14.25" customHeight="1" thickTop="1">
      <c r="A67" s="196" t="s">
        <v>51</v>
      </c>
      <c r="B67" s="197"/>
      <c r="C67" s="182">
        <f>summ!E78</f>
        <v>26</v>
      </c>
      <c r="D67" s="198"/>
      <c r="E67" s="198"/>
      <c r="F67" s="178"/>
    </row>
    <row r="68" spans="1:6">
      <c r="A68" s="179" t="s">
        <v>87</v>
      </c>
      <c r="B68" s="180"/>
      <c r="C68" s="182">
        <f>IF(summ2!E42&gt;0,summ2!E42,"")</f>
        <v>27</v>
      </c>
      <c r="D68" s="199"/>
      <c r="E68" s="163"/>
      <c r="F68" s="466" t="s">
        <v>317</v>
      </c>
    </row>
    <row r="69" spans="1:6" ht="15.75">
      <c r="A69" s="772" t="s">
        <v>77</v>
      </c>
      <c r="B69" s="773"/>
      <c r="C69" s="192" t="str">
        <f>IF(Nhood!C51&gt;0,Nhood!C51,"")</f>
        <v/>
      </c>
      <c r="D69" s="200" t="s">
        <v>54</v>
      </c>
      <c r="E69" s="201" t="s">
        <v>1112</v>
      </c>
      <c r="F69" s="202"/>
    </row>
    <row r="70" spans="1:6" ht="14.25" customHeight="1">
      <c r="A70" s="179" t="s">
        <v>53</v>
      </c>
      <c r="B70" s="203"/>
      <c r="C70" s="192" t="str">
        <f>IF(Resolution!E55&gt;0,Resolution!E55,"")</f>
        <v/>
      </c>
      <c r="D70" s="199"/>
      <c r="E70" s="178"/>
      <c r="F70" s="775" t="str">
        <f>CONCATENATE("Nov 1, ",F3-1," Total Assessed Valuation")</f>
        <v>Nov 1, 2013 Total Assessed Valuation</v>
      </c>
    </row>
    <row r="71" spans="1:6">
      <c r="A71" s="161" t="s">
        <v>149</v>
      </c>
      <c r="B71" s="163"/>
      <c r="C71" s="167"/>
      <c r="D71" s="163"/>
      <c r="E71" s="163"/>
      <c r="F71" s="776"/>
    </row>
    <row r="72" spans="1:6">
      <c r="A72" s="205"/>
      <c r="B72" s="163"/>
      <c r="C72" s="163"/>
      <c r="D72" s="163"/>
      <c r="E72" s="419"/>
      <c r="F72" s="419"/>
    </row>
    <row r="73" spans="1:6">
      <c r="A73" s="206"/>
      <c r="B73" s="204"/>
      <c r="C73" s="178"/>
      <c r="D73" s="178"/>
      <c r="E73" s="720"/>
      <c r="F73" s="720"/>
    </row>
    <row r="74" spans="1:6">
      <c r="A74" s="417" t="s">
        <v>319</v>
      </c>
      <c r="B74" s="204"/>
      <c r="C74" s="178"/>
      <c r="D74" s="178"/>
      <c r="E74" s="720"/>
      <c r="F74" s="720"/>
    </row>
    <row r="75" spans="1:6">
      <c r="A75" s="205"/>
      <c r="B75" s="163"/>
      <c r="C75" s="178" t="s">
        <v>890</v>
      </c>
      <c r="D75" s="178"/>
      <c r="E75" s="719"/>
      <c r="F75" s="719"/>
    </row>
    <row r="76" spans="1:6">
      <c r="A76" s="206"/>
      <c r="B76" s="207"/>
      <c r="C76" s="178"/>
      <c r="D76" s="178"/>
      <c r="E76" s="720"/>
      <c r="F76" s="721"/>
    </row>
    <row r="77" spans="1:6">
      <c r="A77" s="417" t="s">
        <v>889</v>
      </c>
      <c r="B77" s="163"/>
      <c r="C77" s="178" t="s">
        <v>890</v>
      </c>
      <c r="D77" s="178"/>
      <c r="E77" s="719"/>
      <c r="F77" s="720"/>
    </row>
    <row r="78" spans="1:6">
      <c r="A78" s="205"/>
      <c r="B78" s="163"/>
      <c r="C78" s="178"/>
      <c r="D78" s="178"/>
      <c r="E78" s="719"/>
      <c r="F78" s="720"/>
    </row>
    <row r="79" spans="1:6">
      <c r="A79" s="417"/>
      <c r="B79" s="163"/>
      <c r="C79" s="178" t="s">
        <v>890</v>
      </c>
      <c r="D79" s="178"/>
      <c r="E79" s="719"/>
      <c r="F79" s="720"/>
    </row>
    <row r="80" spans="1:6">
      <c r="A80" s="465" t="s">
        <v>6</v>
      </c>
      <c r="B80" s="208">
        <f>F3-1</f>
        <v>2013</v>
      </c>
      <c r="C80" s="178"/>
      <c r="D80" s="178"/>
      <c r="E80" s="722"/>
      <c r="F80" s="178"/>
    </row>
    <row r="81" spans="1:6">
      <c r="A81" s="464"/>
      <c r="B81" s="163"/>
      <c r="C81" s="178" t="s">
        <v>890</v>
      </c>
      <c r="D81" s="178"/>
      <c r="E81" s="178"/>
      <c r="F81" s="178"/>
    </row>
    <row r="82" spans="1:6" ht="15">
      <c r="A82" s="467" t="s">
        <v>151</v>
      </c>
      <c r="B82" s="163"/>
      <c r="C82" s="774" t="s">
        <v>150</v>
      </c>
      <c r="D82" s="771"/>
      <c r="E82" s="771"/>
      <c r="F82" s="771"/>
    </row>
    <row r="83" spans="1:6">
      <c r="A83" s="763"/>
      <c r="B83" s="763"/>
      <c r="C83" s="763"/>
      <c r="D83" s="763"/>
      <c r="E83" s="763"/>
      <c r="F83" s="763"/>
    </row>
    <row r="84" spans="1:6">
      <c r="C84" s="209"/>
      <c r="E84" s="209"/>
      <c r="F84" s="209"/>
    </row>
  </sheetData>
  <mergeCells count="9">
    <mergeCell ref="A83:F83"/>
    <mergeCell ref="A2:F2"/>
    <mergeCell ref="E13:E14"/>
    <mergeCell ref="A6:F6"/>
    <mergeCell ref="A4:F4"/>
    <mergeCell ref="A5:F5"/>
    <mergeCell ref="A69:B69"/>
    <mergeCell ref="C82:F82"/>
    <mergeCell ref="F70:F71"/>
  </mergeCells>
  <phoneticPr fontId="0" type="noConversion"/>
  <pageMargins left="0.5" right="0.5" top="0" bottom="0.23" header="0" footer="0"/>
  <pageSetup scale="74" orientation="portrait" blackAndWhite="1" horizontalDpi="120" verticalDpi="144" r:id="rId1"/>
  <headerFooter alignWithMargins="0">
    <oddHeader xml:space="preserve">&amp;RState of Kansas
County
</oddHeader>
    <oddFooter>&amp;CPage No. 1</oddFooter>
  </headerFooter>
</worksheet>
</file>

<file path=xl/worksheets/sheet50.xml><?xml version="1.0" encoding="utf-8"?>
<worksheet xmlns="http://schemas.openxmlformats.org/spreadsheetml/2006/main" xmlns:r="http://schemas.openxmlformats.org/officeDocument/2006/relationships">
  <sheetPr>
    <tabColor rgb="FFFF0000"/>
  </sheetPr>
  <dimension ref="A3:H52"/>
  <sheetViews>
    <sheetView workbookViewId="0">
      <selection activeCell="A2" sqref="A2"/>
    </sheetView>
  </sheetViews>
  <sheetFormatPr defaultRowHeight="15"/>
  <cols>
    <col min="1" max="1" width="71.33203125" customWidth="1"/>
  </cols>
  <sheetData>
    <row r="3" spans="1:7">
      <c r="A3" s="431" t="s">
        <v>598</v>
      </c>
      <c r="B3" s="431"/>
      <c r="C3" s="431"/>
      <c r="D3" s="431"/>
      <c r="E3" s="431"/>
      <c r="F3" s="431"/>
      <c r="G3" s="431"/>
    </row>
    <row r="4" spans="1:7">
      <c r="A4" s="431" t="s">
        <v>599</v>
      </c>
      <c r="B4" s="431"/>
      <c r="C4" s="431"/>
      <c r="D4" s="431"/>
      <c r="E4" s="431"/>
      <c r="F4" s="431"/>
      <c r="G4" s="431"/>
    </row>
    <row r="5" spans="1:7">
      <c r="A5" s="431"/>
      <c r="B5" s="431"/>
      <c r="C5" s="431"/>
      <c r="D5" s="431"/>
      <c r="E5" s="431"/>
      <c r="F5" s="431"/>
      <c r="G5" s="431"/>
    </row>
    <row r="6" spans="1:7">
      <c r="A6" s="431"/>
      <c r="B6" s="431"/>
      <c r="C6" s="431"/>
      <c r="D6" s="431"/>
      <c r="E6" s="431"/>
      <c r="F6" s="431"/>
      <c r="G6" s="431"/>
    </row>
    <row r="7" spans="1:7">
      <c r="A7" s="432" t="s">
        <v>426</v>
      </c>
    </row>
    <row r="8" spans="1:7">
      <c r="A8" s="432" t="str">
        <f>CONCATENATE("estimated ",inputPrYr!C4," 'total expenditures' exceed your ",inputPrYr!C4,"")</f>
        <v>estimated 2014 'total expenditures' exceed your 2014</v>
      </c>
    </row>
    <row r="9" spans="1:7">
      <c r="A9" s="435" t="s">
        <v>600</v>
      </c>
    </row>
    <row r="10" spans="1:7">
      <c r="A10" s="432"/>
    </row>
    <row r="11" spans="1:7">
      <c r="A11" s="432" t="s">
        <v>601</v>
      </c>
    </row>
    <row r="12" spans="1:7">
      <c r="A12" s="432" t="s">
        <v>602</v>
      </c>
    </row>
    <row r="13" spans="1:7">
      <c r="A13" s="432" t="s">
        <v>603</v>
      </c>
    </row>
    <row r="14" spans="1:7">
      <c r="A14" s="432"/>
    </row>
    <row r="15" spans="1:7">
      <c r="A15" s="433" t="s">
        <v>604</v>
      </c>
    </row>
    <row r="16" spans="1:7">
      <c r="A16" s="431"/>
      <c r="B16" s="431"/>
      <c r="C16" s="431"/>
      <c r="D16" s="431"/>
      <c r="E16" s="431"/>
      <c r="F16" s="431"/>
      <c r="G16" s="431"/>
    </row>
    <row r="17" spans="1:8">
      <c r="A17" s="438" t="s">
        <v>605</v>
      </c>
      <c r="B17" s="416"/>
      <c r="C17" s="416"/>
      <c r="D17" s="416"/>
      <c r="E17" s="416"/>
      <c r="F17" s="416"/>
      <c r="G17" s="416"/>
      <c r="H17" s="416"/>
    </row>
    <row r="18" spans="1:8">
      <c r="A18" s="432" t="s">
        <v>606</v>
      </c>
      <c r="B18" s="439"/>
      <c r="C18" s="439"/>
      <c r="D18" s="439"/>
      <c r="E18" s="439"/>
      <c r="F18" s="439"/>
      <c r="G18" s="439"/>
    </row>
    <row r="19" spans="1:8">
      <c r="A19" s="432" t="s">
        <v>607</v>
      </c>
    </row>
    <row r="20" spans="1:8">
      <c r="A20" s="432" t="s">
        <v>608</v>
      </c>
    </row>
    <row r="22" spans="1:8">
      <c r="A22" s="433" t="s">
        <v>609</v>
      </c>
    </row>
    <row r="24" spans="1:8">
      <c r="A24" s="432" t="s">
        <v>610</v>
      </c>
    </row>
    <row r="25" spans="1:8">
      <c r="A25" s="432" t="s">
        <v>611</v>
      </c>
    </row>
    <row r="26" spans="1:8">
      <c r="A26" s="432" t="s">
        <v>612</v>
      </c>
    </row>
    <row r="28" spans="1:8">
      <c r="A28" s="433" t="s">
        <v>613</v>
      </c>
    </row>
    <row r="30" spans="1:8">
      <c r="A30" t="s">
        <v>614</v>
      </c>
    </row>
    <row r="31" spans="1:8">
      <c r="A31" t="s">
        <v>615</v>
      </c>
    </row>
    <row r="32" spans="1:8">
      <c r="A32" t="s">
        <v>616</v>
      </c>
    </row>
    <row r="33" spans="1:1">
      <c r="A33" s="432" t="s">
        <v>617</v>
      </c>
    </row>
    <row r="35" spans="1:1">
      <c r="A35" t="s">
        <v>618</v>
      </c>
    </row>
    <row r="36" spans="1:1">
      <c r="A36" t="s">
        <v>619</v>
      </c>
    </row>
    <row r="37" spans="1:1">
      <c r="A37" t="s">
        <v>620</v>
      </c>
    </row>
    <row r="38" spans="1:1">
      <c r="A38" t="s">
        <v>621</v>
      </c>
    </row>
    <row r="40" spans="1:1">
      <c r="A40" t="s">
        <v>622</v>
      </c>
    </row>
    <row r="41" spans="1:1">
      <c r="A41" t="s">
        <v>623</v>
      </c>
    </row>
    <row r="42" spans="1:1">
      <c r="A42" t="s">
        <v>624</v>
      </c>
    </row>
    <row r="43" spans="1:1">
      <c r="A43" t="s">
        <v>625</v>
      </c>
    </row>
    <row r="44" spans="1:1">
      <c r="A44" t="s">
        <v>626</v>
      </c>
    </row>
    <row r="45" spans="1:1">
      <c r="A45" t="s">
        <v>627</v>
      </c>
    </row>
    <row r="47" spans="1:1">
      <c r="A47" t="s">
        <v>628</v>
      </c>
    </row>
    <row r="48" spans="1:1">
      <c r="A48" t="s">
        <v>629</v>
      </c>
    </row>
    <row r="49" spans="1:1">
      <c r="A49" s="432" t="s">
        <v>630</v>
      </c>
    </row>
    <row r="50" spans="1:1">
      <c r="A50" s="432" t="s">
        <v>631</v>
      </c>
    </row>
    <row r="52" spans="1:1">
      <c r="A52" t="s">
        <v>481</v>
      </c>
    </row>
  </sheetData>
  <sheetProtection sheet="1"/>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7.5546875" style="539" customWidth="1"/>
    <col min="2" max="2" width="11.21875" style="566" customWidth="1"/>
    <col min="3" max="3" width="7.44140625" style="566" customWidth="1"/>
    <col min="4" max="4" width="8.88671875" style="566"/>
    <col min="5" max="5" width="1.5546875" style="566" customWidth="1"/>
    <col min="6" max="6" width="14.33203125" style="566" customWidth="1"/>
    <col min="7" max="7" width="2.5546875" style="566" customWidth="1"/>
    <col min="8" max="8" width="9.77734375" style="566" customWidth="1"/>
    <col min="9" max="9" width="2" style="566" customWidth="1"/>
    <col min="10" max="10" width="8.5546875" style="566" customWidth="1"/>
    <col min="11" max="11" width="11.6640625" style="566" customWidth="1"/>
    <col min="12" max="12" width="7.5546875" style="539" customWidth="1"/>
    <col min="13" max="14" width="8.88671875" style="539"/>
    <col min="15" max="15" width="9.88671875" style="539" bestFit="1" customWidth="1"/>
    <col min="16" max="16384" width="8.88671875" style="539"/>
  </cols>
  <sheetData>
    <row r="1" spans="1:12">
      <c r="A1" s="565"/>
      <c r="B1" s="565"/>
      <c r="C1" s="565"/>
      <c r="D1" s="565"/>
      <c r="E1" s="565"/>
      <c r="F1" s="565"/>
      <c r="G1" s="565"/>
      <c r="H1" s="565"/>
      <c r="I1" s="565"/>
      <c r="J1" s="565"/>
      <c r="K1" s="565"/>
      <c r="L1" s="565"/>
    </row>
    <row r="2" spans="1:12">
      <c r="A2" s="565"/>
      <c r="B2" s="565"/>
      <c r="C2" s="565"/>
      <c r="D2" s="565"/>
      <c r="E2" s="565"/>
      <c r="F2" s="565"/>
      <c r="G2" s="565"/>
      <c r="H2" s="565"/>
      <c r="I2" s="565"/>
      <c r="J2" s="565"/>
      <c r="K2" s="565"/>
      <c r="L2" s="565"/>
    </row>
    <row r="3" spans="1:12">
      <c r="A3" s="565"/>
      <c r="B3" s="565"/>
      <c r="C3" s="565"/>
      <c r="D3" s="565"/>
      <c r="E3" s="565"/>
      <c r="F3" s="565"/>
      <c r="G3" s="565"/>
      <c r="H3" s="565"/>
      <c r="I3" s="565"/>
      <c r="J3" s="565"/>
      <c r="K3" s="565"/>
      <c r="L3" s="565"/>
    </row>
    <row r="4" spans="1:12">
      <c r="A4" s="565"/>
      <c r="L4" s="565"/>
    </row>
    <row r="5" spans="1:12" ht="15" customHeight="1">
      <c r="A5" s="565"/>
      <c r="L5" s="565"/>
    </row>
    <row r="6" spans="1:12" ht="33" customHeight="1">
      <c r="A6" s="565"/>
      <c r="B6" s="846" t="s">
        <v>737</v>
      </c>
      <c r="C6" s="847"/>
      <c r="D6" s="847"/>
      <c r="E6" s="847"/>
      <c r="F6" s="847"/>
      <c r="G6" s="847"/>
      <c r="H6" s="847"/>
      <c r="I6" s="847"/>
      <c r="J6" s="847"/>
      <c r="K6" s="847"/>
      <c r="L6" s="567"/>
    </row>
    <row r="7" spans="1:12" ht="40.5" customHeight="1">
      <c r="A7" s="565"/>
      <c r="B7" s="859" t="s">
        <v>738</v>
      </c>
      <c r="C7" s="860"/>
      <c r="D7" s="860"/>
      <c r="E7" s="860"/>
      <c r="F7" s="860"/>
      <c r="G7" s="860"/>
      <c r="H7" s="860"/>
      <c r="I7" s="860"/>
      <c r="J7" s="860"/>
      <c r="K7" s="860"/>
      <c r="L7" s="565"/>
    </row>
    <row r="8" spans="1:12">
      <c r="A8" s="565"/>
      <c r="B8" s="852" t="s">
        <v>739</v>
      </c>
      <c r="C8" s="852"/>
      <c r="D8" s="852"/>
      <c r="E8" s="852"/>
      <c r="F8" s="852"/>
      <c r="G8" s="852"/>
      <c r="H8" s="852"/>
      <c r="I8" s="852"/>
      <c r="J8" s="852"/>
      <c r="K8" s="852"/>
      <c r="L8" s="565"/>
    </row>
    <row r="9" spans="1:12">
      <c r="A9" s="565"/>
      <c r="L9" s="565"/>
    </row>
    <row r="10" spans="1:12">
      <c r="A10" s="565"/>
      <c r="B10" s="852" t="s">
        <v>740</v>
      </c>
      <c r="C10" s="852"/>
      <c r="D10" s="852"/>
      <c r="E10" s="852"/>
      <c r="F10" s="852"/>
      <c r="G10" s="852"/>
      <c r="H10" s="852"/>
      <c r="I10" s="852"/>
      <c r="J10" s="852"/>
      <c r="K10" s="852"/>
      <c r="L10" s="565"/>
    </row>
    <row r="11" spans="1:12">
      <c r="A11" s="565"/>
      <c r="B11" s="626"/>
      <c r="C11" s="626"/>
      <c r="D11" s="626"/>
      <c r="E11" s="626"/>
      <c r="F11" s="626"/>
      <c r="G11" s="626"/>
      <c r="H11" s="626"/>
      <c r="I11" s="626"/>
      <c r="J11" s="626"/>
      <c r="K11" s="626"/>
      <c r="L11" s="565"/>
    </row>
    <row r="12" spans="1:12" ht="32.25" customHeight="1">
      <c r="A12" s="565"/>
      <c r="B12" s="850" t="s">
        <v>741</v>
      </c>
      <c r="C12" s="850"/>
      <c r="D12" s="850"/>
      <c r="E12" s="850"/>
      <c r="F12" s="850"/>
      <c r="G12" s="850"/>
      <c r="H12" s="850"/>
      <c r="I12" s="850"/>
      <c r="J12" s="850"/>
      <c r="K12" s="850"/>
      <c r="L12" s="565"/>
    </row>
    <row r="13" spans="1:12">
      <c r="A13" s="565"/>
      <c r="L13" s="565"/>
    </row>
    <row r="14" spans="1:12">
      <c r="A14" s="565"/>
      <c r="B14" s="548" t="s">
        <v>742</v>
      </c>
      <c r="L14" s="565"/>
    </row>
    <row r="15" spans="1:12">
      <c r="A15" s="565"/>
      <c r="L15" s="565"/>
    </row>
    <row r="16" spans="1:12">
      <c r="A16" s="565"/>
      <c r="B16" s="566" t="s">
        <v>743</v>
      </c>
      <c r="L16" s="565"/>
    </row>
    <row r="17" spans="1:12">
      <c r="A17" s="565"/>
      <c r="B17" s="566" t="s">
        <v>744</v>
      </c>
      <c r="L17" s="565"/>
    </row>
    <row r="18" spans="1:12">
      <c r="A18" s="565"/>
      <c r="L18" s="565"/>
    </row>
    <row r="19" spans="1:12">
      <c r="A19" s="565"/>
      <c r="B19" s="548" t="s">
        <v>815</v>
      </c>
      <c r="L19" s="565"/>
    </row>
    <row r="20" spans="1:12">
      <c r="A20" s="565"/>
      <c r="B20" s="548"/>
      <c r="L20" s="565"/>
    </row>
    <row r="21" spans="1:12">
      <c r="A21" s="565"/>
      <c r="B21" s="566" t="s">
        <v>816</v>
      </c>
      <c r="L21" s="565"/>
    </row>
    <row r="22" spans="1:12">
      <c r="A22" s="565"/>
      <c r="L22" s="565"/>
    </row>
    <row r="23" spans="1:12">
      <c r="A23" s="565"/>
      <c r="B23" s="566" t="s">
        <v>745</v>
      </c>
      <c r="E23" s="566" t="s">
        <v>746</v>
      </c>
      <c r="F23" s="848">
        <v>312000000</v>
      </c>
      <c r="G23" s="848"/>
      <c r="L23" s="565"/>
    </row>
    <row r="24" spans="1:12">
      <c r="A24" s="565"/>
      <c r="L24" s="565"/>
    </row>
    <row r="25" spans="1:12">
      <c r="A25" s="565"/>
      <c r="C25" s="861">
        <f>F23</f>
        <v>312000000</v>
      </c>
      <c r="D25" s="861"/>
      <c r="E25" s="566" t="s">
        <v>747</v>
      </c>
      <c r="F25" s="568">
        <v>1000</v>
      </c>
      <c r="G25" s="568" t="s">
        <v>746</v>
      </c>
      <c r="H25" s="627">
        <f>F23/F25</f>
        <v>312000</v>
      </c>
      <c r="L25" s="565"/>
    </row>
    <row r="26" spans="1:12" ht="15" thickBot="1">
      <c r="A26" s="565"/>
      <c r="L26" s="565"/>
    </row>
    <row r="27" spans="1:12">
      <c r="A27" s="565"/>
      <c r="B27" s="549" t="s">
        <v>742</v>
      </c>
      <c r="C27" s="569"/>
      <c r="D27" s="569"/>
      <c r="E27" s="569"/>
      <c r="F27" s="569"/>
      <c r="G27" s="569"/>
      <c r="H27" s="569"/>
      <c r="I27" s="569"/>
      <c r="J27" s="569"/>
      <c r="K27" s="570"/>
      <c r="L27" s="565"/>
    </row>
    <row r="28" spans="1:12">
      <c r="A28" s="565"/>
      <c r="B28" s="571">
        <f>F23</f>
        <v>312000000</v>
      </c>
      <c r="C28" s="572" t="s">
        <v>748</v>
      </c>
      <c r="D28" s="572"/>
      <c r="E28" s="572" t="s">
        <v>747</v>
      </c>
      <c r="F28" s="630">
        <v>1000</v>
      </c>
      <c r="G28" s="630" t="s">
        <v>746</v>
      </c>
      <c r="H28" s="573">
        <f>B28/F28</f>
        <v>312000</v>
      </c>
      <c r="I28" s="572" t="s">
        <v>749</v>
      </c>
      <c r="J28" s="572"/>
      <c r="K28" s="574"/>
      <c r="L28" s="565"/>
    </row>
    <row r="29" spans="1:12" ht="15" thickBot="1">
      <c r="A29" s="565"/>
      <c r="B29" s="575"/>
      <c r="C29" s="576"/>
      <c r="D29" s="576"/>
      <c r="E29" s="576"/>
      <c r="F29" s="576"/>
      <c r="G29" s="576"/>
      <c r="H29" s="576"/>
      <c r="I29" s="576"/>
      <c r="J29" s="576"/>
      <c r="K29" s="577"/>
      <c r="L29" s="565"/>
    </row>
    <row r="30" spans="1:12" ht="40.5" customHeight="1">
      <c r="A30" s="565"/>
      <c r="B30" s="849" t="s">
        <v>738</v>
      </c>
      <c r="C30" s="849"/>
      <c r="D30" s="849"/>
      <c r="E30" s="849"/>
      <c r="F30" s="849"/>
      <c r="G30" s="849"/>
      <c r="H30" s="849"/>
      <c r="I30" s="849"/>
      <c r="J30" s="849"/>
      <c r="K30" s="849"/>
      <c r="L30" s="565"/>
    </row>
    <row r="31" spans="1:12">
      <c r="A31" s="565"/>
      <c r="B31" s="852" t="s">
        <v>750</v>
      </c>
      <c r="C31" s="852"/>
      <c r="D31" s="852"/>
      <c r="E31" s="852"/>
      <c r="F31" s="852"/>
      <c r="G31" s="852"/>
      <c r="H31" s="852"/>
      <c r="I31" s="852"/>
      <c r="J31" s="852"/>
      <c r="K31" s="852"/>
      <c r="L31" s="565"/>
    </row>
    <row r="32" spans="1:12">
      <c r="A32" s="565"/>
      <c r="L32" s="565"/>
    </row>
    <row r="33" spans="1:12">
      <c r="A33" s="565"/>
      <c r="B33" s="852" t="s">
        <v>751</v>
      </c>
      <c r="C33" s="852"/>
      <c r="D33" s="852"/>
      <c r="E33" s="852"/>
      <c r="F33" s="852"/>
      <c r="G33" s="852"/>
      <c r="H33" s="852"/>
      <c r="I33" s="852"/>
      <c r="J33" s="852"/>
      <c r="K33" s="852"/>
      <c r="L33" s="565"/>
    </row>
    <row r="34" spans="1:12">
      <c r="A34" s="565"/>
      <c r="L34" s="565"/>
    </row>
    <row r="35" spans="1:12" ht="89.25" customHeight="1">
      <c r="A35" s="565"/>
      <c r="B35" s="850" t="s">
        <v>752</v>
      </c>
      <c r="C35" s="853"/>
      <c r="D35" s="853"/>
      <c r="E35" s="853"/>
      <c r="F35" s="853"/>
      <c r="G35" s="853"/>
      <c r="H35" s="853"/>
      <c r="I35" s="853"/>
      <c r="J35" s="853"/>
      <c r="K35" s="853"/>
      <c r="L35" s="565"/>
    </row>
    <row r="36" spans="1:12">
      <c r="A36" s="565"/>
      <c r="L36" s="565"/>
    </row>
    <row r="37" spans="1:12">
      <c r="A37" s="565"/>
      <c r="B37" s="548" t="s">
        <v>753</v>
      </c>
      <c r="L37" s="565"/>
    </row>
    <row r="38" spans="1:12">
      <c r="A38" s="565"/>
      <c r="L38" s="565"/>
    </row>
    <row r="39" spans="1:12">
      <c r="A39" s="565"/>
      <c r="B39" s="566" t="s">
        <v>754</v>
      </c>
      <c r="L39" s="565"/>
    </row>
    <row r="40" spans="1:12">
      <c r="A40" s="565"/>
      <c r="L40" s="565"/>
    </row>
    <row r="41" spans="1:12">
      <c r="A41" s="565"/>
      <c r="C41" s="862">
        <v>312000000</v>
      </c>
      <c r="D41" s="862"/>
      <c r="E41" s="566" t="s">
        <v>747</v>
      </c>
      <c r="F41" s="568">
        <v>1000</v>
      </c>
      <c r="G41" s="568" t="s">
        <v>746</v>
      </c>
      <c r="H41" s="578">
        <f>C41/F41</f>
        <v>312000</v>
      </c>
      <c r="L41" s="565"/>
    </row>
    <row r="42" spans="1:12">
      <c r="A42" s="565"/>
      <c r="L42" s="565"/>
    </row>
    <row r="43" spans="1:12">
      <c r="A43" s="565"/>
      <c r="B43" s="566" t="s">
        <v>755</v>
      </c>
      <c r="L43" s="565"/>
    </row>
    <row r="44" spans="1:12">
      <c r="A44" s="565"/>
      <c r="L44" s="565"/>
    </row>
    <row r="45" spans="1:12">
      <c r="A45" s="565"/>
      <c r="B45" s="566" t="s">
        <v>756</v>
      </c>
      <c r="L45" s="565"/>
    </row>
    <row r="46" spans="1:12" ht="15" thickBot="1">
      <c r="A46" s="565"/>
      <c r="L46" s="565"/>
    </row>
    <row r="47" spans="1:12">
      <c r="A47" s="565"/>
      <c r="B47" s="579" t="s">
        <v>742</v>
      </c>
      <c r="C47" s="569"/>
      <c r="D47" s="569"/>
      <c r="E47" s="569"/>
      <c r="F47" s="569"/>
      <c r="G47" s="569"/>
      <c r="H47" s="569"/>
      <c r="I47" s="569"/>
      <c r="J47" s="569"/>
      <c r="K47" s="570"/>
      <c r="L47" s="565"/>
    </row>
    <row r="48" spans="1:12">
      <c r="A48" s="565"/>
      <c r="B48" s="854">
        <v>312000000</v>
      </c>
      <c r="C48" s="848"/>
      <c r="D48" s="572" t="s">
        <v>757</v>
      </c>
      <c r="E48" s="572" t="s">
        <v>747</v>
      </c>
      <c r="F48" s="630">
        <v>1000</v>
      </c>
      <c r="G48" s="630" t="s">
        <v>746</v>
      </c>
      <c r="H48" s="573">
        <f>B48/F48</f>
        <v>312000</v>
      </c>
      <c r="I48" s="572" t="s">
        <v>758</v>
      </c>
      <c r="J48" s="572"/>
      <c r="K48" s="574"/>
      <c r="L48" s="565"/>
    </row>
    <row r="49" spans="1:24">
      <c r="A49" s="565"/>
      <c r="B49" s="580"/>
      <c r="C49" s="572"/>
      <c r="D49" s="572"/>
      <c r="E49" s="572"/>
      <c r="F49" s="572"/>
      <c r="G49" s="572"/>
      <c r="H49" s="572"/>
      <c r="I49" s="572"/>
      <c r="J49" s="572"/>
      <c r="K49" s="574"/>
      <c r="L49" s="565"/>
    </row>
    <row r="50" spans="1:24">
      <c r="A50" s="565"/>
      <c r="B50" s="581">
        <v>50000</v>
      </c>
      <c r="C50" s="572" t="s">
        <v>759</v>
      </c>
      <c r="D50" s="572"/>
      <c r="E50" s="572" t="s">
        <v>747</v>
      </c>
      <c r="F50" s="573">
        <f>H48</f>
        <v>312000</v>
      </c>
      <c r="G50" s="855" t="s">
        <v>760</v>
      </c>
      <c r="H50" s="856"/>
      <c r="I50" s="630" t="s">
        <v>746</v>
      </c>
      <c r="J50" s="582">
        <f>B50/F50</f>
        <v>0.16025641025641027</v>
      </c>
      <c r="K50" s="574"/>
      <c r="L50" s="565"/>
    </row>
    <row r="51" spans="1:24" ht="15" thickBot="1">
      <c r="A51" s="565"/>
      <c r="B51" s="575"/>
      <c r="C51" s="576"/>
      <c r="D51" s="576"/>
      <c r="E51" s="576"/>
      <c r="F51" s="576"/>
      <c r="G51" s="576"/>
      <c r="H51" s="576"/>
      <c r="I51" s="857" t="s">
        <v>761</v>
      </c>
      <c r="J51" s="857"/>
      <c r="K51" s="858"/>
      <c r="L51" s="565"/>
      <c r="O51" s="583"/>
    </row>
    <row r="52" spans="1:24" ht="40.5" customHeight="1">
      <c r="A52" s="565"/>
      <c r="B52" s="849" t="s">
        <v>738</v>
      </c>
      <c r="C52" s="849"/>
      <c r="D52" s="849"/>
      <c r="E52" s="849"/>
      <c r="F52" s="849"/>
      <c r="G52" s="849"/>
      <c r="H52" s="849"/>
      <c r="I52" s="849"/>
      <c r="J52" s="849"/>
      <c r="K52" s="849"/>
      <c r="L52" s="565"/>
    </row>
    <row r="53" spans="1:24">
      <c r="A53" s="565"/>
      <c r="B53" s="852" t="s">
        <v>762</v>
      </c>
      <c r="C53" s="852"/>
      <c r="D53" s="852"/>
      <c r="E53" s="852"/>
      <c r="F53" s="852"/>
      <c r="G53" s="852"/>
      <c r="H53" s="852"/>
      <c r="I53" s="852"/>
      <c r="J53" s="852"/>
      <c r="K53" s="852"/>
      <c r="L53" s="565"/>
    </row>
    <row r="54" spans="1:24">
      <c r="A54" s="565"/>
      <c r="B54" s="626"/>
      <c r="C54" s="626"/>
      <c r="D54" s="626"/>
      <c r="E54" s="626"/>
      <c r="F54" s="626"/>
      <c r="G54" s="626"/>
      <c r="H54" s="626"/>
      <c r="I54" s="626"/>
      <c r="J54" s="626"/>
      <c r="K54" s="626"/>
      <c r="L54" s="565"/>
    </row>
    <row r="55" spans="1:24">
      <c r="A55" s="565"/>
      <c r="B55" s="846" t="s">
        <v>763</v>
      </c>
      <c r="C55" s="846"/>
      <c r="D55" s="846"/>
      <c r="E55" s="846"/>
      <c r="F55" s="846"/>
      <c r="G55" s="846"/>
      <c r="H55" s="846"/>
      <c r="I55" s="846"/>
      <c r="J55" s="846"/>
      <c r="K55" s="846"/>
      <c r="L55" s="565"/>
    </row>
    <row r="56" spans="1:24" ht="15" customHeight="1">
      <c r="A56" s="565"/>
      <c r="L56" s="565"/>
    </row>
    <row r="57" spans="1:24" ht="74.25" customHeight="1">
      <c r="A57" s="565"/>
      <c r="B57" s="850" t="s">
        <v>764</v>
      </c>
      <c r="C57" s="853"/>
      <c r="D57" s="853"/>
      <c r="E57" s="853"/>
      <c r="F57" s="853"/>
      <c r="G57" s="853"/>
      <c r="H57" s="853"/>
      <c r="I57" s="853"/>
      <c r="J57" s="853"/>
      <c r="K57" s="853"/>
      <c r="L57" s="565"/>
      <c r="M57" s="550"/>
      <c r="N57" s="538"/>
      <c r="O57" s="538"/>
      <c r="P57" s="538"/>
      <c r="Q57" s="538"/>
      <c r="R57" s="538"/>
      <c r="S57" s="538"/>
      <c r="T57" s="538"/>
      <c r="U57" s="538"/>
      <c r="V57" s="538"/>
      <c r="W57" s="538"/>
      <c r="X57" s="538"/>
    </row>
    <row r="58" spans="1:24" ht="15" customHeight="1">
      <c r="A58" s="565"/>
      <c r="B58" s="850"/>
      <c r="C58" s="853"/>
      <c r="D58" s="853"/>
      <c r="E58" s="853"/>
      <c r="F58" s="853"/>
      <c r="G58" s="853"/>
      <c r="H58" s="853"/>
      <c r="I58" s="853"/>
      <c r="J58" s="853"/>
      <c r="K58" s="853"/>
      <c r="L58" s="565"/>
      <c r="M58" s="550"/>
      <c r="N58" s="538"/>
      <c r="O58" s="538"/>
      <c r="P58" s="538"/>
      <c r="Q58" s="538"/>
      <c r="R58" s="538"/>
      <c r="S58" s="538"/>
      <c r="T58" s="538"/>
      <c r="U58" s="538"/>
      <c r="V58" s="538"/>
      <c r="W58" s="538"/>
      <c r="X58" s="538"/>
    </row>
    <row r="59" spans="1:24">
      <c r="A59" s="565"/>
      <c r="B59" s="548" t="s">
        <v>753</v>
      </c>
      <c r="L59" s="565"/>
      <c r="M59" s="538"/>
      <c r="N59" s="538"/>
      <c r="O59" s="538"/>
      <c r="P59" s="538"/>
      <c r="Q59" s="538"/>
      <c r="R59" s="538"/>
      <c r="S59" s="538"/>
      <c r="T59" s="538"/>
      <c r="U59" s="538"/>
      <c r="V59" s="538"/>
      <c r="W59" s="538"/>
      <c r="X59" s="538"/>
    </row>
    <row r="60" spans="1:24">
      <c r="A60" s="565"/>
      <c r="L60" s="565"/>
      <c r="M60" s="538"/>
      <c r="N60" s="538"/>
      <c r="O60" s="538"/>
      <c r="P60" s="538"/>
      <c r="Q60" s="538"/>
      <c r="R60" s="538"/>
      <c r="S60" s="538"/>
      <c r="T60" s="538"/>
      <c r="U60" s="538"/>
      <c r="V60" s="538"/>
      <c r="W60" s="538"/>
      <c r="X60" s="538"/>
    </row>
    <row r="61" spans="1:24">
      <c r="A61" s="565"/>
      <c r="B61" s="566" t="s">
        <v>765</v>
      </c>
      <c r="L61" s="565"/>
      <c r="M61" s="538"/>
      <c r="N61" s="538"/>
      <c r="O61" s="538"/>
      <c r="P61" s="538"/>
      <c r="Q61" s="538"/>
      <c r="R61" s="538"/>
      <c r="S61" s="538"/>
      <c r="T61" s="538"/>
      <c r="U61" s="538"/>
      <c r="V61" s="538"/>
      <c r="W61" s="538"/>
      <c r="X61" s="538"/>
    </row>
    <row r="62" spans="1:24">
      <c r="A62" s="565"/>
      <c r="B62" s="566" t="s">
        <v>817</v>
      </c>
      <c r="L62" s="565"/>
      <c r="M62" s="538"/>
      <c r="N62" s="538"/>
      <c r="O62" s="538"/>
      <c r="P62" s="538"/>
      <c r="Q62" s="538"/>
      <c r="R62" s="538"/>
      <c r="S62" s="538"/>
      <c r="T62" s="538"/>
      <c r="U62" s="538"/>
      <c r="V62" s="538"/>
      <c r="W62" s="538"/>
      <c r="X62" s="538"/>
    </row>
    <row r="63" spans="1:24">
      <c r="A63" s="565"/>
      <c r="B63" s="566" t="s">
        <v>818</v>
      </c>
      <c r="L63" s="565"/>
      <c r="M63" s="538"/>
      <c r="N63" s="538"/>
      <c r="O63" s="538"/>
      <c r="P63" s="538"/>
      <c r="Q63" s="538"/>
      <c r="R63" s="538"/>
      <c r="S63" s="538"/>
      <c r="T63" s="538"/>
      <c r="U63" s="538"/>
      <c r="V63" s="538"/>
      <c r="W63" s="538"/>
      <c r="X63" s="538"/>
    </row>
    <row r="64" spans="1:24">
      <c r="A64" s="565"/>
      <c r="L64" s="565"/>
      <c r="M64" s="538"/>
      <c r="N64" s="538"/>
      <c r="O64" s="538"/>
      <c r="P64" s="538"/>
      <c r="Q64" s="538"/>
      <c r="R64" s="538"/>
      <c r="S64" s="538"/>
      <c r="T64" s="538"/>
      <c r="U64" s="538"/>
      <c r="V64" s="538"/>
      <c r="W64" s="538"/>
      <c r="X64" s="538"/>
    </row>
    <row r="65" spans="1:24">
      <c r="A65" s="565"/>
      <c r="B65" s="566" t="s">
        <v>766</v>
      </c>
      <c r="L65" s="565"/>
      <c r="M65" s="538"/>
      <c r="N65" s="538"/>
      <c r="O65" s="538"/>
      <c r="P65" s="538"/>
      <c r="Q65" s="538"/>
      <c r="R65" s="538"/>
      <c r="S65" s="538"/>
      <c r="T65" s="538"/>
      <c r="U65" s="538"/>
      <c r="V65" s="538"/>
      <c r="W65" s="538"/>
      <c r="X65" s="538"/>
    </row>
    <row r="66" spans="1:24">
      <c r="A66" s="565"/>
      <c r="B66" s="566" t="s">
        <v>767</v>
      </c>
      <c r="L66" s="565"/>
      <c r="M66" s="538"/>
      <c r="N66" s="538"/>
      <c r="O66" s="538"/>
      <c r="P66" s="538"/>
      <c r="Q66" s="538"/>
      <c r="R66" s="538"/>
      <c r="S66" s="538"/>
      <c r="T66" s="538"/>
      <c r="U66" s="538"/>
      <c r="V66" s="538"/>
      <c r="W66" s="538"/>
      <c r="X66" s="538"/>
    </row>
    <row r="67" spans="1:24">
      <c r="A67" s="565"/>
      <c r="L67" s="565"/>
      <c r="M67" s="538"/>
      <c r="N67" s="538"/>
      <c r="O67" s="538"/>
      <c r="P67" s="538"/>
      <c r="Q67" s="538"/>
      <c r="R67" s="538"/>
      <c r="S67" s="538"/>
      <c r="T67" s="538"/>
      <c r="U67" s="538"/>
      <c r="V67" s="538"/>
      <c r="W67" s="538"/>
      <c r="X67" s="538"/>
    </row>
    <row r="68" spans="1:24">
      <c r="A68" s="565"/>
      <c r="B68" s="566" t="s">
        <v>768</v>
      </c>
      <c r="L68" s="565"/>
      <c r="M68" s="551"/>
      <c r="N68" s="537"/>
      <c r="O68" s="537"/>
      <c r="P68" s="537"/>
      <c r="Q68" s="537"/>
      <c r="R68" s="537"/>
      <c r="S68" s="537"/>
      <c r="T68" s="537"/>
      <c r="U68" s="537"/>
      <c r="V68" s="537"/>
      <c r="W68" s="537"/>
      <c r="X68" s="538"/>
    </row>
    <row r="69" spans="1:24">
      <c r="A69" s="565"/>
      <c r="B69" s="566" t="s">
        <v>819</v>
      </c>
      <c r="L69" s="565"/>
      <c r="M69" s="538"/>
      <c r="N69" s="538"/>
      <c r="O69" s="538"/>
      <c r="P69" s="538"/>
      <c r="Q69" s="538"/>
      <c r="R69" s="538"/>
      <c r="S69" s="538"/>
      <c r="T69" s="538"/>
      <c r="U69" s="538"/>
      <c r="V69" s="538"/>
      <c r="W69" s="538"/>
      <c r="X69" s="538"/>
    </row>
    <row r="70" spans="1:24">
      <c r="A70" s="565"/>
      <c r="B70" s="566" t="s">
        <v>820</v>
      </c>
      <c r="L70" s="565"/>
      <c r="M70" s="538"/>
      <c r="N70" s="538"/>
      <c r="O70" s="538"/>
      <c r="P70" s="538"/>
      <c r="Q70" s="538"/>
      <c r="R70" s="538"/>
      <c r="S70" s="538"/>
      <c r="T70" s="538"/>
      <c r="U70" s="538"/>
      <c r="V70" s="538"/>
      <c r="W70" s="538"/>
      <c r="X70" s="538"/>
    </row>
    <row r="71" spans="1:24" ht="15" thickBot="1">
      <c r="A71" s="565"/>
      <c r="B71" s="572"/>
      <c r="C71" s="572"/>
      <c r="D71" s="572"/>
      <c r="E71" s="572"/>
      <c r="F71" s="572"/>
      <c r="G71" s="572"/>
      <c r="H71" s="572"/>
      <c r="I71" s="572"/>
      <c r="J71" s="572"/>
      <c r="K71" s="572"/>
      <c r="L71" s="565"/>
    </row>
    <row r="72" spans="1:24">
      <c r="A72" s="565"/>
      <c r="B72" s="549" t="s">
        <v>742</v>
      </c>
      <c r="C72" s="569"/>
      <c r="D72" s="569"/>
      <c r="E72" s="569"/>
      <c r="F72" s="569"/>
      <c r="G72" s="569"/>
      <c r="H72" s="569"/>
      <c r="I72" s="569"/>
      <c r="J72" s="569"/>
      <c r="K72" s="570"/>
      <c r="L72" s="584"/>
    </row>
    <row r="73" spans="1:24">
      <c r="A73" s="565"/>
      <c r="B73" s="580"/>
      <c r="C73" s="572" t="s">
        <v>748</v>
      </c>
      <c r="D73" s="572"/>
      <c r="E73" s="572"/>
      <c r="F73" s="572"/>
      <c r="G73" s="572"/>
      <c r="H73" s="572"/>
      <c r="I73" s="572"/>
      <c r="J73" s="572"/>
      <c r="K73" s="574"/>
      <c r="L73" s="584"/>
    </row>
    <row r="74" spans="1:24">
      <c r="A74" s="565"/>
      <c r="B74" s="580" t="s">
        <v>769</v>
      </c>
      <c r="C74" s="848">
        <v>312000000</v>
      </c>
      <c r="D74" s="848"/>
      <c r="E74" s="630" t="s">
        <v>747</v>
      </c>
      <c r="F74" s="630">
        <v>1000</v>
      </c>
      <c r="G74" s="630" t="s">
        <v>746</v>
      </c>
      <c r="H74" s="621">
        <f>C74/F74</f>
        <v>312000</v>
      </c>
      <c r="I74" s="572" t="s">
        <v>770</v>
      </c>
      <c r="J74" s="572"/>
      <c r="K74" s="574"/>
      <c r="L74" s="584"/>
    </row>
    <row r="75" spans="1:24">
      <c r="A75" s="565"/>
      <c r="B75" s="580"/>
      <c r="C75" s="572"/>
      <c r="D75" s="572"/>
      <c r="E75" s="630"/>
      <c r="F75" s="572"/>
      <c r="G75" s="572"/>
      <c r="H75" s="572"/>
      <c r="I75" s="572"/>
      <c r="J75" s="572"/>
      <c r="K75" s="574"/>
      <c r="L75" s="584"/>
    </row>
    <row r="76" spans="1:24">
      <c r="A76" s="565"/>
      <c r="B76" s="580"/>
      <c r="C76" s="572" t="s">
        <v>771</v>
      </c>
      <c r="D76" s="572"/>
      <c r="E76" s="630"/>
      <c r="F76" s="572" t="s">
        <v>770</v>
      </c>
      <c r="G76" s="572"/>
      <c r="H76" s="572"/>
      <c r="I76" s="572"/>
      <c r="J76" s="572"/>
      <c r="K76" s="574"/>
      <c r="L76" s="584"/>
    </row>
    <row r="77" spans="1:24">
      <c r="A77" s="565"/>
      <c r="B77" s="580" t="s">
        <v>774</v>
      </c>
      <c r="C77" s="848">
        <v>50000</v>
      </c>
      <c r="D77" s="848"/>
      <c r="E77" s="630" t="s">
        <v>747</v>
      </c>
      <c r="F77" s="621">
        <f>H74</f>
        <v>312000</v>
      </c>
      <c r="G77" s="630" t="s">
        <v>746</v>
      </c>
      <c r="H77" s="582">
        <f>C77/F77</f>
        <v>0.16025641025641027</v>
      </c>
      <c r="I77" s="572" t="s">
        <v>772</v>
      </c>
      <c r="J77" s="572"/>
      <c r="K77" s="574"/>
      <c r="L77" s="584"/>
    </row>
    <row r="78" spans="1:24">
      <c r="A78" s="565"/>
      <c r="B78" s="580"/>
      <c r="C78" s="572"/>
      <c r="D78" s="572"/>
      <c r="E78" s="630"/>
      <c r="F78" s="572"/>
      <c r="G78" s="572"/>
      <c r="H78" s="572"/>
      <c r="I78" s="572"/>
      <c r="J78" s="572"/>
      <c r="K78" s="574"/>
      <c r="L78" s="584"/>
    </row>
    <row r="79" spans="1:24">
      <c r="A79" s="565"/>
      <c r="B79" s="585"/>
      <c r="C79" s="586" t="s">
        <v>773</v>
      </c>
      <c r="D79" s="586"/>
      <c r="E79" s="622"/>
      <c r="F79" s="586"/>
      <c r="G79" s="586"/>
      <c r="H79" s="586"/>
      <c r="I79" s="586"/>
      <c r="J79" s="586"/>
      <c r="K79" s="587"/>
      <c r="L79" s="584"/>
    </row>
    <row r="80" spans="1:24">
      <c r="A80" s="565"/>
      <c r="B80" s="580" t="s">
        <v>799</v>
      </c>
      <c r="C80" s="848">
        <v>100000</v>
      </c>
      <c r="D80" s="848"/>
      <c r="E80" s="630" t="s">
        <v>148</v>
      </c>
      <c r="F80" s="630">
        <v>0.115</v>
      </c>
      <c r="G80" s="630" t="s">
        <v>746</v>
      </c>
      <c r="H80" s="621">
        <f>C80*F80</f>
        <v>11500</v>
      </c>
      <c r="I80" s="572" t="s">
        <v>775</v>
      </c>
      <c r="J80" s="572"/>
      <c r="K80" s="574"/>
      <c r="L80" s="584"/>
    </row>
    <row r="81" spans="1:12">
      <c r="A81" s="565"/>
      <c r="B81" s="580"/>
      <c r="C81" s="572"/>
      <c r="D81" s="572"/>
      <c r="E81" s="630"/>
      <c r="F81" s="572"/>
      <c r="G81" s="572"/>
      <c r="H81" s="572"/>
      <c r="I81" s="572"/>
      <c r="J81" s="572"/>
      <c r="K81" s="574"/>
      <c r="L81" s="584"/>
    </row>
    <row r="82" spans="1:12">
      <c r="A82" s="565"/>
      <c r="B82" s="585"/>
      <c r="C82" s="586" t="s">
        <v>776</v>
      </c>
      <c r="D82" s="586"/>
      <c r="E82" s="622"/>
      <c r="F82" s="586" t="s">
        <v>772</v>
      </c>
      <c r="G82" s="586"/>
      <c r="H82" s="586"/>
      <c r="I82" s="586"/>
      <c r="J82" s="586" t="s">
        <v>777</v>
      </c>
      <c r="K82" s="587"/>
      <c r="L82" s="584"/>
    </row>
    <row r="83" spans="1:12">
      <c r="A83" s="565"/>
      <c r="B83" s="580" t="s">
        <v>800</v>
      </c>
      <c r="C83" s="837">
        <f>H80</f>
        <v>11500</v>
      </c>
      <c r="D83" s="837"/>
      <c r="E83" s="630" t="s">
        <v>148</v>
      </c>
      <c r="F83" s="582">
        <f>H77</f>
        <v>0.16025641025641027</v>
      </c>
      <c r="G83" s="630" t="s">
        <v>747</v>
      </c>
      <c r="H83" s="630">
        <v>1000</v>
      </c>
      <c r="I83" s="630" t="s">
        <v>746</v>
      </c>
      <c r="J83" s="623">
        <f>C83*F83/H83</f>
        <v>1.8429487179487181</v>
      </c>
      <c r="K83" s="574"/>
      <c r="L83" s="584"/>
    </row>
    <row r="84" spans="1:12" ht="15" thickBot="1">
      <c r="A84" s="565"/>
      <c r="B84" s="575"/>
      <c r="C84" s="588"/>
      <c r="D84" s="588"/>
      <c r="E84" s="589"/>
      <c r="F84" s="590"/>
      <c r="G84" s="589"/>
      <c r="H84" s="589"/>
      <c r="I84" s="589"/>
      <c r="J84" s="591"/>
      <c r="K84" s="577"/>
      <c r="L84" s="584"/>
    </row>
    <row r="85" spans="1:12" ht="40.5" customHeight="1">
      <c r="A85" s="565"/>
      <c r="B85" s="849" t="s">
        <v>738</v>
      </c>
      <c r="C85" s="849"/>
      <c r="D85" s="849"/>
      <c r="E85" s="849"/>
      <c r="F85" s="849"/>
      <c r="G85" s="849"/>
      <c r="H85" s="849"/>
      <c r="I85" s="849"/>
      <c r="J85" s="849"/>
      <c r="K85" s="849"/>
      <c r="L85" s="565"/>
    </row>
    <row r="86" spans="1:12">
      <c r="A86" s="565"/>
      <c r="B86" s="846" t="s">
        <v>778</v>
      </c>
      <c r="C86" s="846"/>
      <c r="D86" s="846"/>
      <c r="E86" s="846"/>
      <c r="F86" s="846"/>
      <c r="G86" s="846"/>
      <c r="H86" s="846"/>
      <c r="I86" s="846"/>
      <c r="J86" s="846"/>
      <c r="K86" s="846"/>
      <c r="L86" s="565"/>
    </row>
    <row r="87" spans="1:12">
      <c r="A87" s="565"/>
      <c r="B87" s="592"/>
      <c r="C87" s="592"/>
      <c r="D87" s="592"/>
      <c r="E87" s="592"/>
      <c r="F87" s="592"/>
      <c r="G87" s="592"/>
      <c r="H87" s="592"/>
      <c r="I87" s="592"/>
      <c r="J87" s="592"/>
      <c r="K87" s="592"/>
      <c r="L87" s="565"/>
    </row>
    <row r="88" spans="1:12">
      <c r="A88" s="565"/>
      <c r="B88" s="846" t="s">
        <v>779</v>
      </c>
      <c r="C88" s="846"/>
      <c r="D88" s="846"/>
      <c r="E88" s="846"/>
      <c r="F88" s="846"/>
      <c r="G88" s="846"/>
      <c r="H88" s="846"/>
      <c r="I88" s="846"/>
      <c r="J88" s="846"/>
      <c r="K88" s="846"/>
      <c r="L88" s="565"/>
    </row>
    <row r="89" spans="1:12">
      <c r="A89" s="565"/>
      <c r="B89" s="624"/>
      <c r="C89" s="624"/>
      <c r="D89" s="624"/>
      <c r="E89" s="624"/>
      <c r="F89" s="624"/>
      <c r="G89" s="624"/>
      <c r="H89" s="624"/>
      <c r="I89" s="624"/>
      <c r="J89" s="624"/>
      <c r="K89" s="624"/>
      <c r="L89" s="565"/>
    </row>
    <row r="90" spans="1:12" ht="45" customHeight="1">
      <c r="A90" s="565"/>
      <c r="B90" s="850" t="s">
        <v>780</v>
      </c>
      <c r="C90" s="850"/>
      <c r="D90" s="850"/>
      <c r="E90" s="850"/>
      <c r="F90" s="850"/>
      <c r="G90" s="850"/>
      <c r="H90" s="850"/>
      <c r="I90" s="850"/>
      <c r="J90" s="850"/>
      <c r="K90" s="850"/>
      <c r="L90" s="565"/>
    </row>
    <row r="91" spans="1:12" ht="15" customHeight="1" thickBot="1">
      <c r="A91" s="565"/>
      <c r="L91" s="565"/>
    </row>
    <row r="92" spans="1:12" ht="15" customHeight="1">
      <c r="A92" s="565"/>
      <c r="B92" s="552" t="s">
        <v>742</v>
      </c>
      <c r="C92" s="593"/>
      <c r="D92" s="593"/>
      <c r="E92" s="593"/>
      <c r="F92" s="593"/>
      <c r="G92" s="593"/>
      <c r="H92" s="593"/>
      <c r="I92" s="593"/>
      <c r="J92" s="593"/>
      <c r="K92" s="594"/>
      <c r="L92" s="565"/>
    </row>
    <row r="93" spans="1:12" ht="15" customHeight="1">
      <c r="A93" s="565"/>
      <c r="B93" s="595"/>
      <c r="C93" s="628" t="s">
        <v>748</v>
      </c>
      <c r="D93" s="628"/>
      <c r="E93" s="628"/>
      <c r="F93" s="628"/>
      <c r="G93" s="628"/>
      <c r="H93" s="628"/>
      <c r="I93" s="628"/>
      <c r="J93" s="628"/>
      <c r="K93" s="596"/>
      <c r="L93" s="565"/>
    </row>
    <row r="94" spans="1:12" ht="15" customHeight="1">
      <c r="A94" s="565"/>
      <c r="B94" s="595" t="s">
        <v>769</v>
      </c>
      <c r="C94" s="848">
        <v>312000000</v>
      </c>
      <c r="D94" s="848"/>
      <c r="E94" s="630" t="s">
        <v>747</v>
      </c>
      <c r="F94" s="630">
        <v>1000</v>
      </c>
      <c r="G94" s="630" t="s">
        <v>746</v>
      </c>
      <c r="H94" s="621">
        <f>C94/F94</f>
        <v>312000</v>
      </c>
      <c r="I94" s="628" t="s">
        <v>770</v>
      </c>
      <c r="J94" s="628"/>
      <c r="K94" s="596"/>
      <c r="L94" s="565"/>
    </row>
    <row r="95" spans="1:12" ht="15" customHeight="1">
      <c r="A95" s="565"/>
      <c r="B95" s="595"/>
      <c r="C95" s="628"/>
      <c r="D95" s="628"/>
      <c r="E95" s="630"/>
      <c r="F95" s="628"/>
      <c r="G95" s="628"/>
      <c r="H95" s="628"/>
      <c r="I95" s="628"/>
      <c r="J95" s="628"/>
      <c r="K95" s="596"/>
      <c r="L95" s="565"/>
    </row>
    <row r="96" spans="1:12" ht="15" customHeight="1">
      <c r="A96" s="565"/>
      <c r="B96" s="595"/>
      <c r="C96" s="628" t="s">
        <v>771</v>
      </c>
      <c r="D96" s="628"/>
      <c r="E96" s="630"/>
      <c r="F96" s="628" t="s">
        <v>770</v>
      </c>
      <c r="G96" s="628"/>
      <c r="H96" s="628"/>
      <c r="I96" s="628"/>
      <c r="J96" s="628"/>
      <c r="K96" s="596"/>
      <c r="L96" s="565"/>
    </row>
    <row r="97" spans="1:12" ht="15" customHeight="1">
      <c r="A97" s="565"/>
      <c r="B97" s="595" t="s">
        <v>774</v>
      </c>
      <c r="C97" s="848">
        <v>50000</v>
      </c>
      <c r="D97" s="848"/>
      <c r="E97" s="630" t="s">
        <v>747</v>
      </c>
      <c r="F97" s="621">
        <f>H94</f>
        <v>312000</v>
      </c>
      <c r="G97" s="630" t="s">
        <v>746</v>
      </c>
      <c r="H97" s="582">
        <f>C97/F97</f>
        <v>0.16025641025641027</v>
      </c>
      <c r="I97" s="628" t="s">
        <v>772</v>
      </c>
      <c r="J97" s="628"/>
      <c r="K97" s="596"/>
      <c r="L97" s="565"/>
    </row>
    <row r="98" spans="1:12" ht="15" customHeight="1">
      <c r="A98" s="565"/>
      <c r="B98" s="595"/>
      <c r="C98" s="628"/>
      <c r="D98" s="628"/>
      <c r="E98" s="630"/>
      <c r="F98" s="628"/>
      <c r="G98" s="628"/>
      <c r="H98" s="628"/>
      <c r="I98" s="628"/>
      <c r="J98" s="628"/>
      <c r="K98" s="596"/>
      <c r="L98" s="565"/>
    </row>
    <row r="99" spans="1:12" ht="15" customHeight="1">
      <c r="A99" s="565"/>
      <c r="B99" s="597"/>
      <c r="C99" s="598" t="s">
        <v>781</v>
      </c>
      <c r="D99" s="598"/>
      <c r="E99" s="622"/>
      <c r="F99" s="598"/>
      <c r="G99" s="598"/>
      <c r="H99" s="598"/>
      <c r="I99" s="598"/>
      <c r="J99" s="598"/>
      <c r="K99" s="599"/>
      <c r="L99" s="565"/>
    </row>
    <row r="100" spans="1:12" ht="15" customHeight="1">
      <c r="A100" s="565"/>
      <c r="B100" s="595" t="s">
        <v>799</v>
      </c>
      <c r="C100" s="848">
        <v>2500000</v>
      </c>
      <c r="D100" s="848"/>
      <c r="E100" s="630" t="s">
        <v>148</v>
      </c>
      <c r="F100" s="600">
        <v>0.3</v>
      </c>
      <c r="G100" s="630" t="s">
        <v>746</v>
      </c>
      <c r="H100" s="621">
        <f>C100*F100</f>
        <v>750000</v>
      </c>
      <c r="I100" s="628" t="s">
        <v>775</v>
      </c>
      <c r="J100" s="628"/>
      <c r="K100" s="596"/>
      <c r="L100" s="565"/>
    </row>
    <row r="101" spans="1:12" ht="15" customHeight="1">
      <c r="A101" s="565"/>
      <c r="B101" s="595"/>
      <c r="C101" s="628"/>
      <c r="D101" s="628"/>
      <c r="E101" s="630"/>
      <c r="F101" s="628"/>
      <c r="G101" s="628"/>
      <c r="H101" s="628"/>
      <c r="I101" s="628"/>
      <c r="J101" s="628"/>
      <c r="K101" s="596"/>
      <c r="L101" s="565"/>
    </row>
    <row r="102" spans="1:12" ht="15" customHeight="1">
      <c r="A102" s="565"/>
      <c r="B102" s="597"/>
      <c r="C102" s="598" t="s">
        <v>776</v>
      </c>
      <c r="D102" s="598"/>
      <c r="E102" s="622"/>
      <c r="F102" s="598" t="s">
        <v>772</v>
      </c>
      <c r="G102" s="598"/>
      <c r="H102" s="598"/>
      <c r="I102" s="598"/>
      <c r="J102" s="598" t="s">
        <v>777</v>
      </c>
      <c r="K102" s="599"/>
      <c r="L102" s="565"/>
    </row>
    <row r="103" spans="1:12" ht="15" customHeight="1">
      <c r="A103" s="565"/>
      <c r="B103" s="595" t="s">
        <v>800</v>
      </c>
      <c r="C103" s="837">
        <f>H100</f>
        <v>750000</v>
      </c>
      <c r="D103" s="837"/>
      <c r="E103" s="630" t="s">
        <v>148</v>
      </c>
      <c r="F103" s="582">
        <f>H97</f>
        <v>0.16025641025641027</v>
      </c>
      <c r="G103" s="630" t="s">
        <v>747</v>
      </c>
      <c r="H103" s="630">
        <v>1000</v>
      </c>
      <c r="I103" s="630" t="s">
        <v>746</v>
      </c>
      <c r="J103" s="623">
        <f>C103*F103/H103</f>
        <v>120.19230769230771</v>
      </c>
      <c r="K103" s="596"/>
      <c r="L103" s="565"/>
    </row>
    <row r="104" spans="1:12" ht="15" customHeight="1" thickBot="1">
      <c r="A104" s="565"/>
      <c r="B104" s="601"/>
      <c r="C104" s="588"/>
      <c r="D104" s="588"/>
      <c r="E104" s="589"/>
      <c r="F104" s="590"/>
      <c r="G104" s="589"/>
      <c r="H104" s="589"/>
      <c r="I104" s="589"/>
      <c r="J104" s="591"/>
      <c r="K104" s="629"/>
      <c r="L104" s="565"/>
    </row>
    <row r="105" spans="1:12" ht="40.5" customHeight="1">
      <c r="A105" s="565"/>
      <c r="B105" s="849" t="s">
        <v>738</v>
      </c>
      <c r="C105" s="851"/>
      <c r="D105" s="851"/>
      <c r="E105" s="851"/>
      <c r="F105" s="851"/>
      <c r="G105" s="851"/>
      <c r="H105" s="851"/>
      <c r="I105" s="851"/>
      <c r="J105" s="851"/>
      <c r="K105" s="851"/>
      <c r="L105" s="565"/>
    </row>
    <row r="106" spans="1:12" ht="15" customHeight="1">
      <c r="A106" s="565"/>
      <c r="B106" s="844" t="s">
        <v>782</v>
      </c>
      <c r="C106" s="847"/>
      <c r="D106" s="847"/>
      <c r="E106" s="847"/>
      <c r="F106" s="847"/>
      <c r="G106" s="847"/>
      <c r="H106" s="847"/>
      <c r="I106" s="847"/>
      <c r="J106" s="847"/>
      <c r="K106" s="847"/>
      <c r="L106" s="565"/>
    </row>
    <row r="107" spans="1:12" ht="15" customHeight="1">
      <c r="A107" s="565"/>
      <c r="B107" s="628"/>
      <c r="C107" s="602"/>
      <c r="D107" s="602"/>
      <c r="E107" s="630"/>
      <c r="F107" s="582"/>
      <c r="G107" s="630"/>
      <c r="H107" s="630"/>
      <c r="I107" s="630"/>
      <c r="J107" s="623"/>
      <c r="K107" s="628"/>
      <c r="L107" s="565"/>
    </row>
    <row r="108" spans="1:12" ht="15" customHeight="1">
      <c r="A108" s="565"/>
      <c r="B108" s="844" t="s">
        <v>783</v>
      </c>
      <c r="C108" s="845"/>
      <c r="D108" s="845"/>
      <c r="E108" s="845"/>
      <c r="F108" s="845"/>
      <c r="G108" s="845"/>
      <c r="H108" s="845"/>
      <c r="I108" s="845"/>
      <c r="J108" s="845"/>
      <c r="K108" s="845"/>
      <c r="L108" s="565"/>
    </row>
    <row r="109" spans="1:12" ht="15" customHeight="1">
      <c r="A109" s="565"/>
      <c r="B109" s="628"/>
      <c r="C109" s="602"/>
      <c r="D109" s="602"/>
      <c r="E109" s="630"/>
      <c r="F109" s="582"/>
      <c r="G109" s="630"/>
      <c r="H109" s="630"/>
      <c r="I109" s="630"/>
      <c r="J109" s="623"/>
      <c r="K109" s="628"/>
      <c r="L109" s="565"/>
    </row>
    <row r="110" spans="1:12" ht="59.25" customHeight="1">
      <c r="A110" s="565"/>
      <c r="B110" s="863" t="s">
        <v>784</v>
      </c>
      <c r="C110" s="853"/>
      <c r="D110" s="853"/>
      <c r="E110" s="853"/>
      <c r="F110" s="853"/>
      <c r="G110" s="853"/>
      <c r="H110" s="853"/>
      <c r="I110" s="853"/>
      <c r="J110" s="853"/>
      <c r="K110" s="853"/>
      <c r="L110" s="565"/>
    </row>
    <row r="111" spans="1:12" ht="15" thickBot="1">
      <c r="A111" s="565"/>
      <c r="B111" s="626"/>
      <c r="C111" s="626"/>
      <c r="D111" s="626"/>
      <c r="E111" s="626"/>
      <c r="F111" s="626"/>
      <c r="G111" s="626"/>
      <c r="H111" s="626"/>
      <c r="I111" s="626"/>
      <c r="J111" s="626"/>
      <c r="K111" s="626"/>
      <c r="L111" s="603"/>
    </row>
    <row r="112" spans="1:12">
      <c r="A112" s="565"/>
      <c r="B112" s="549" t="s">
        <v>742</v>
      </c>
      <c r="C112" s="569"/>
      <c r="D112" s="569"/>
      <c r="E112" s="569"/>
      <c r="F112" s="569"/>
      <c r="G112" s="569"/>
      <c r="H112" s="569"/>
      <c r="I112" s="569"/>
      <c r="J112" s="569"/>
      <c r="K112" s="570"/>
      <c r="L112" s="565"/>
    </row>
    <row r="113" spans="1:12">
      <c r="A113" s="565"/>
      <c r="B113" s="580"/>
      <c r="C113" s="572" t="s">
        <v>748</v>
      </c>
      <c r="D113" s="572"/>
      <c r="E113" s="572"/>
      <c r="F113" s="572"/>
      <c r="G113" s="572"/>
      <c r="H113" s="572"/>
      <c r="I113" s="572"/>
      <c r="J113" s="572"/>
      <c r="K113" s="574"/>
      <c r="L113" s="565"/>
    </row>
    <row r="114" spans="1:12">
      <c r="A114" s="565"/>
      <c r="B114" s="580" t="s">
        <v>769</v>
      </c>
      <c r="C114" s="848">
        <v>312000000</v>
      </c>
      <c r="D114" s="848"/>
      <c r="E114" s="630" t="s">
        <v>747</v>
      </c>
      <c r="F114" s="630">
        <v>1000</v>
      </c>
      <c r="G114" s="630" t="s">
        <v>746</v>
      </c>
      <c r="H114" s="621">
        <f>C114/F114</f>
        <v>312000</v>
      </c>
      <c r="I114" s="572" t="s">
        <v>770</v>
      </c>
      <c r="J114" s="572"/>
      <c r="K114" s="574"/>
      <c r="L114" s="565"/>
    </row>
    <row r="115" spans="1:12">
      <c r="A115" s="565"/>
      <c r="B115" s="580"/>
      <c r="C115" s="572"/>
      <c r="D115" s="572"/>
      <c r="E115" s="630"/>
      <c r="F115" s="572"/>
      <c r="G115" s="572"/>
      <c r="H115" s="572"/>
      <c r="I115" s="572"/>
      <c r="J115" s="572"/>
      <c r="K115" s="574"/>
      <c r="L115" s="565"/>
    </row>
    <row r="116" spans="1:12">
      <c r="A116" s="565"/>
      <c r="B116" s="580"/>
      <c r="C116" s="572" t="s">
        <v>771</v>
      </c>
      <c r="D116" s="572"/>
      <c r="E116" s="630"/>
      <c r="F116" s="572" t="s">
        <v>770</v>
      </c>
      <c r="G116" s="572"/>
      <c r="H116" s="572"/>
      <c r="I116" s="572"/>
      <c r="J116" s="572"/>
      <c r="K116" s="574"/>
      <c r="L116" s="565"/>
    </row>
    <row r="117" spans="1:12">
      <c r="A117" s="565"/>
      <c r="B117" s="580" t="s">
        <v>774</v>
      </c>
      <c r="C117" s="848">
        <v>50000</v>
      </c>
      <c r="D117" s="848"/>
      <c r="E117" s="630" t="s">
        <v>747</v>
      </c>
      <c r="F117" s="621">
        <f>H114</f>
        <v>312000</v>
      </c>
      <c r="G117" s="630" t="s">
        <v>746</v>
      </c>
      <c r="H117" s="582">
        <f>C117/F117</f>
        <v>0.16025641025641027</v>
      </c>
      <c r="I117" s="572" t="s">
        <v>772</v>
      </c>
      <c r="J117" s="572"/>
      <c r="K117" s="574"/>
      <c r="L117" s="565"/>
    </row>
    <row r="118" spans="1:12">
      <c r="A118" s="565"/>
      <c r="B118" s="580"/>
      <c r="C118" s="572"/>
      <c r="D118" s="572"/>
      <c r="E118" s="630"/>
      <c r="F118" s="572"/>
      <c r="G118" s="572"/>
      <c r="H118" s="572"/>
      <c r="I118" s="572"/>
      <c r="J118" s="572"/>
      <c r="K118" s="574"/>
      <c r="L118" s="565"/>
    </row>
    <row r="119" spans="1:12">
      <c r="A119" s="565"/>
      <c r="B119" s="585"/>
      <c r="C119" s="586" t="s">
        <v>781</v>
      </c>
      <c r="D119" s="586"/>
      <c r="E119" s="622"/>
      <c r="F119" s="586"/>
      <c r="G119" s="586"/>
      <c r="H119" s="586"/>
      <c r="I119" s="586"/>
      <c r="J119" s="586"/>
      <c r="K119" s="587"/>
      <c r="L119" s="565"/>
    </row>
    <row r="120" spans="1:12">
      <c r="A120" s="565"/>
      <c r="B120" s="580" t="s">
        <v>799</v>
      </c>
      <c r="C120" s="848">
        <v>2500000</v>
      </c>
      <c r="D120" s="848"/>
      <c r="E120" s="630" t="s">
        <v>148</v>
      </c>
      <c r="F120" s="600">
        <v>0.25</v>
      </c>
      <c r="G120" s="630" t="s">
        <v>746</v>
      </c>
      <c r="H120" s="621">
        <f>C120*F120</f>
        <v>625000</v>
      </c>
      <c r="I120" s="572" t="s">
        <v>775</v>
      </c>
      <c r="J120" s="572"/>
      <c r="K120" s="574"/>
      <c r="L120" s="565"/>
    </row>
    <row r="121" spans="1:12">
      <c r="A121" s="565"/>
      <c r="B121" s="580"/>
      <c r="C121" s="572"/>
      <c r="D121" s="572"/>
      <c r="E121" s="630"/>
      <c r="F121" s="572"/>
      <c r="G121" s="572"/>
      <c r="H121" s="572"/>
      <c r="I121" s="572"/>
      <c r="J121" s="572"/>
      <c r="K121" s="574"/>
      <c r="L121" s="565"/>
    </row>
    <row r="122" spans="1:12">
      <c r="A122" s="565"/>
      <c r="B122" s="585"/>
      <c r="C122" s="586" t="s">
        <v>776</v>
      </c>
      <c r="D122" s="586"/>
      <c r="E122" s="622"/>
      <c r="F122" s="586" t="s">
        <v>772</v>
      </c>
      <c r="G122" s="586"/>
      <c r="H122" s="586"/>
      <c r="I122" s="586"/>
      <c r="J122" s="586" t="s">
        <v>777</v>
      </c>
      <c r="K122" s="587"/>
      <c r="L122" s="565"/>
    </row>
    <row r="123" spans="1:12">
      <c r="A123" s="565"/>
      <c r="B123" s="580" t="s">
        <v>800</v>
      </c>
      <c r="C123" s="837">
        <f>H120</f>
        <v>625000</v>
      </c>
      <c r="D123" s="837"/>
      <c r="E123" s="630" t="s">
        <v>148</v>
      </c>
      <c r="F123" s="582">
        <f>H117</f>
        <v>0.16025641025641027</v>
      </c>
      <c r="G123" s="630" t="s">
        <v>747</v>
      </c>
      <c r="H123" s="630">
        <v>1000</v>
      </c>
      <c r="I123" s="630" t="s">
        <v>746</v>
      </c>
      <c r="J123" s="623">
        <f>C123*F123/H123</f>
        <v>100.16025641025642</v>
      </c>
      <c r="K123" s="574"/>
      <c r="L123" s="565"/>
    </row>
    <row r="124" spans="1:12" ht="15" thickBot="1">
      <c r="A124" s="565"/>
      <c r="B124" s="575"/>
      <c r="C124" s="588"/>
      <c r="D124" s="588"/>
      <c r="E124" s="589"/>
      <c r="F124" s="590"/>
      <c r="G124" s="589"/>
      <c r="H124" s="589"/>
      <c r="I124" s="589"/>
      <c r="J124" s="591"/>
      <c r="K124" s="577"/>
      <c r="L124" s="565"/>
    </row>
    <row r="125" spans="1:12" ht="40.5" customHeight="1">
      <c r="A125" s="565"/>
      <c r="B125" s="849" t="s">
        <v>738</v>
      </c>
      <c r="C125" s="849"/>
      <c r="D125" s="849"/>
      <c r="E125" s="849"/>
      <c r="F125" s="849"/>
      <c r="G125" s="849"/>
      <c r="H125" s="849"/>
      <c r="I125" s="849"/>
      <c r="J125" s="849"/>
      <c r="K125" s="849"/>
      <c r="L125" s="603"/>
    </row>
    <row r="126" spans="1:12">
      <c r="A126" s="565"/>
      <c r="B126" s="846" t="s">
        <v>785</v>
      </c>
      <c r="C126" s="846"/>
      <c r="D126" s="846"/>
      <c r="E126" s="846"/>
      <c r="F126" s="846"/>
      <c r="G126" s="846"/>
      <c r="H126" s="846"/>
      <c r="I126" s="846"/>
      <c r="J126" s="846"/>
      <c r="K126" s="846"/>
      <c r="L126" s="603"/>
    </row>
    <row r="127" spans="1:12">
      <c r="A127" s="565"/>
      <c r="B127" s="626"/>
      <c r="C127" s="626"/>
      <c r="D127" s="626"/>
      <c r="E127" s="626"/>
      <c r="F127" s="626"/>
      <c r="G127" s="626"/>
      <c r="H127" s="626"/>
      <c r="I127" s="626"/>
      <c r="J127" s="626"/>
      <c r="K127" s="626"/>
      <c r="L127" s="603"/>
    </row>
    <row r="128" spans="1:12">
      <c r="A128" s="565"/>
      <c r="B128" s="846" t="s">
        <v>786</v>
      </c>
      <c r="C128" s="846"/>
      <c r="D128" s="846"/>
      <c r="E128" s="846"/>
      <c r="F128" s="846"/>
      <c r="G128" s="846"/>
      <c r="H128" s="846"/>
      <c r="I128" s="846"/>
      <c r="J128" s="846"/>
      <c r="K128" s="846"/>
      <c r="L128" s="603"/>
    </row>
    <row r="129" spans="1:12">
      <c r="A129" s="565"/>
      <c r="B129" s="624"/>
      <c r="C129" s="624"/>
      <c r="D129" s="624"/>
      <c r="E129" s="624"/>
      <c r="F129" s="624"/>
      <c r="G129" s="624"/>
      <c r="H129" s="624"/>
      <c r="I129" s="624"/>
      <c r="J129" s="624"/>
      <c r="K129" s="624"/>
      <c r="L129" s="603"/>
    </row>
    <row r="130" spans="1:12" ht="74.25" customHeight="1">
      <c r="A130" s="565"/>
      <c r="B130" s="850" t="s">
        <v>801</v>
      </c>
      <c r="C130" s="850"/>
      <c r="D130" s="850"/>
      <c r="E130" s="850"/>
      <c r="F130" s="850"/>
      <c r="G130" s="850"/>
      <c r="H130" s="850"/>
      <c r="I130" s="850"/>
      <c r="J130" s="850"/>
      <c r="K130" s="850"/>
      <c r="L130" s="603"/>
    </row>
    <row r="131" spans="1:12" ht="15" thickBot="1">
      <c r="A131" s="565"/>
      <c r="L131" s="565"/>
    </row>
    <row r="132" spans="1:12">
      <c r="A132" s="565"/>
      <c r="B132" s="549" t="s">
        <v>742</v>
      </c>
      <c r="C132" s="569"/>
      <c r="D132" s="569"/>
      <c r="E132" s="569"/>
      <c r="F132" s="569"/>
      <c r="G132" s="569"/>
      <c r="H132" s="569"/>
      <c r="I132" s="569"/>
      <c r="J132" s="569"/>
      <c r="K132" s="570"/>
      <c r="L132" s="565"/>
    </row>
    <row r="133" spans="1:12">
      <c r="A133" s="565"/>
      <c r="B133" s="580"/>
      <c r="C133" s="864" t="s">
        <v>787</v>
      </c>
      <c r="D133" s="864"/>
      <c r="E133" s="572"/>
      <c r="F133" s="630" t="s">
        <v>788</v>
      </c>
      <c r="G133" s="572"/>
      <c r="H133" s="864" t="s">
        <v>775</v>
      </c>
      <c r="I133" s="864"/>
      <c r="J133" s="572"/>
      <c r="K133" s="574"/>
      <c r="L133" s="565"/>
    </row>
    <row r="134" spans="1:12">
      <c r="A134" s="565"/>
      <c r="B134" s="580" t="s">
        <v>769</v>
      </c>
      <c r="C134" s="848">
        <v>100000</v>
      </c>
      <c r="D134" s="848"/>
      <c r="E134" s="630" t="s">
        <v>148</v>
      </c>
      <c r="F134" s="630">
        <v>0.115</v>
      </c>
      <c r="G134" s="630" t="s">
        <v>746</v>
      </c>
      <c r="H134" s="838">
        <f>C134*F134</f>
        <v>11500</v>
      </c>
      <c r="I134" s="838"/>
      <c r="J134" s="572"/>
      <c r="K134" s="574"/>
      <c r="L134" s="565"/>
    </row>
    <row r="135" spans="1:12">
      <c r="A135" s="565"/>
      <c r="B135" s="580"/>
      <c r="C135" s="572"/>
      <c r="D135" s="572"/>
      <c r="E135" s="572"/>
      <c r="F135" s="572"/>
      <c r="G135" s="572"/>
      <c r="H135" s="572"/>
      <c r="I135" s="572"/>
      <c r="J135" s="572"/>
      <c r="K135" s="574"/>
      <c r="L135" s="565"/>
    </row>
    <row r="136" spans="1:12">
      <c r="A136" s="565"/>
      <c r="B136" s="585"/>
      <c r="C136" s="839" t="s">
        <v>775</v>
      </c>
      <c r="D136" s="839"/>
      <c r="E136" s="586"/>
      <c r="F136" s="622" t="s">
        <v>789</v>
      </c>
      <c r="G136" s="622"/>
      <c r="H136" s="586"/>
      <c r="I136" s="586"/>
      <c r="J136" s="586" t="s">
        <v>790</v>
      </c>
      <c r="K136" s="587"/>
      <c r="L136" s="565"/>
    </row>
    <row r="137" spans="1:12">
      <c r="A137" s="565"/>
      <c r="B137" s="580" t="s">
        <v>774</v>
      </c>
      <c r="C137" s="838">
        <f>H134</f>
        <v>11500</v>
      </c>
      <c r="D137" s="838"/>
      <c r="E137" s="630" t="s">
        <v>148</v>
      </c>
      <c r="F137" s="604">
        <v>52.869</v>
      </c>
      <c r="G137" s="630" t="s">
        <v>747</v>
      </c>
      <c r="H137" s="630">
        <v>1000</v>
      </c>
      <c r="I137" s="630" t="s">
        <v>746</v>
      </c>
      <c r="J137" s="605">
        <f>C137*F137/H137</f>
        <v>607.99350000000004</v>
      </c>
      <c r="K137" s="574"/>
      <c r="L137" s="565"/>
    </row>
    <row r="138" spans="1:12" ht="15" thickBot="1">
      <c r="A138" s="565"/>
      <c r="B138" s="575"/>
      <c r="C138" s="606"/>
      <c r="D138" s="606"/>
      <c r="E138" s="589"/>
      <c r="F138" s="607"/>
      <c r="G138" s="589"/>
      <c r="H138" s="589"/>
      <c r="I138" s="589"/>
      <c r="J138" s="608"/>
      <c r="K138" s="577"/>
      <c r="L138" s="565"/>
    </row>
    <row r="139" spans="1:12" ht="40.5" customHeight="1">
      <c r="A139" s="565"/>
      <c r="B139" s="553" t="s">
        <v>738</v>
      </c>
      <c r="C139" s="554"/>
      <c r="D139" s="554"/>
      <c r="E139" s="555"/>
      <c r="F139" s="556"/>
      <c r="G139" s="555"/>
      <c r="H139" s="555"/>
      <c r="I139" s="555"/>
      <c r="J139" s="557"/>
      <c r="K139" s="558"/>
      <c r="L139" s="565"/>
    </row>
    <row r="140" spans="1:12">
      <c r="A140" s="565"/>
      <c r="B140" s="559" t="s">
        <v>802</v>
      </c>
      <c r="C140" s="560"/>
      <c r="D140" s="560"/>
      <c r="E140" s="561"/>
      <c r="F140" s="562"/>
      <c r="G140" s="561"/>
      <c r="H140" s="561"/>
      <c r="I140" s="561"/>
      <c r="J140" s="563"/>
      <c r="K140" s="564"/>
      <c r="L140" s="565"/>
    </row>
    <row r="141" spans="1:12">
      <c r="A141" s="565"/>
      <c r="B141" s="580"/>
      <c r="C141" s="621"/>
      <c r="D141" s="621"/>
      <c r="E141" s="630"/>
      <c r="F141" s="609"/>
      <c r="G141" s="630"/>
      <c r="H141" s="630"/>
      <c r="I141" s="630"/>
      <c r="J141" s="605"/>
      <c r="K141" s="574"/>
      <c r="L141" s="565"/>
    </row>
    <row r="142" spans="1:12">
      <c r="A142" s="565"/>
      <c r="B142" s="559" t="s">
        <v>803</v>
      </c>
      <c r="C142" s="560"/>
      <c r="D142" s="560"/>
      <c r="E142" s="561"/>
      <c r="F142" s="562"/>
      <c r="G142" s="561"/>
      <c r="H142" s="561"/>
      <c r="I142" s="561"/>
      <c r="J142" s="563"/>
      <c r="K142" s="564"/>
      <c r="L142" s="565"/>
    </row>
    <row r="143" spans="1:12">
      <c r="A143" s="565"/>
      <c r="B143" s="580"/>
      <c r="C143" s="621"/>
      <c r="D143" s="621"/>
      <c r="E143" s="630"/>
      <c r="F143" s="609"/>
      <c r="G143" s="630"/>
      <c r="H143" s="630"/>
      <c r="I143" s="630"/>
      <c r="J143" s="605"/>
      <c r="K143" s="574"/>
      <c r="L143" s="565"/>
    </row>
    <row r="144" spans="1:12" ht="76.5" customHeight="1">
      <c r="A144" s="565"/>
      <c r="B144" s="840" t="s">
        <v>804</v>
      </c>
      <c r="C144" s="841"/>
      <c r="D144" s="841"/>
      <c r="E144" s="841"/>
      <c r="F144" s="841"/>
      <c r="G144" s="841"/>
      <c r="H144" s="841"/>
      <c r="I144" s="841"/>
      <c r="J144" s="841"/>
      <c r="K144" s="842"/>
      <c r="L144" s="565"/>
    </row>
    <row r="145" spans="1:12" ht="15" thickBot="1">
      <c r="A145" s="565"/>
      <c r="B145" s="580"/>
      <c r="C145" s="621"/>
      <c r="D145" s="621"/>
      <c r="E145" s="630"/>
      <c r="F145" s="609"/>
      <c r="G145" s="630"/>
      <c r="H145" s="630"/>
      <c r="I145" s="630"/>
      <c r="J145" s="605"/>
      <c r="K145" s="574"/>
      <c r="L145" s="565"/>
    </row>
    <row r="146" spans="1:12">
      <c r="A146" s="565"/>
      <c r="B146" s="549" t="s">
        <v>742</v>
      </c>
      <c r="C146" s="610"/>
      <c r="D146" s="610"/>
      <c r="E146" s="611"/>
      <c r="F146" s="612"/>
      <c r="G146" s="611"/>
      <c r="H146" s="611"/>
      <c r="I146" s="611"/>
      <c r="J146" s="613"/>
      <c r="K146" s="570"/>
      <c r="L146" s="565"/>
    </row>
    <row r="147" spans="1:12">
      <c r="A147" s="565"/>
      <c r="B147" s="580"/>
      <c r="C147" s="838" t="s">
        <v>805</v>
      </c>
      <c r="D147" s="838"/>
      <c r="E147" s="630"/>
      <c r="F147" s="609" t="s">
        <v>806</v>
      </c>
      <c r="G147" s="630"/>
      <c r="H147" s="630"/>
      <c r="I147" s="630"/>
      <c r="J147" s="835" t="s">
        <v>807</v>
      </c>
      <c r="K147" s="843"/>
      <c r="L147" s="565"/>
    </row>
    <row r="148" spans="1:12">
      <c r="A148" s="565"/>
      <c r="B148" s="580"/>
      <c r="C148" s="834">
        <v>52.869</v>
      </c>
      <c r="D148" s="834"/>
      <c r="E148" s="630" t="s">
        <v>148</v>
      </c>
      <c r="F148" s="625">
        <v>312000000</v>
      </c>
      <c r="G148" s="614" t="s">
        <v>747</v>
      </c>
      <c r="H148" s="630">
        <v>1000</v>
      </c>
      <c r="I148" s="630" t="s">
        <v>746</v>
      </c>
      <c r="J148" s="835">
        <f>C148*(F148/1000)</f>
        <v>16495128</v>
      </c>
      <c r="K148" s="836"/>
      <c r="L148" s="565"/>
    </row>
    <row r="149" spans="1:12" ht="15" thickBot="1">
      <c r="A149" s="565"/>
      <c r="B149" s="575"/>
      <c r="C149" s="606"/>
      <c r="D149" s="606"/>
      <c r="E149" s="589"/>
      <c r="F149" s="607"/>
      <c r="G149" s="589"/>
      <c r="H149" s="589"/>
      <c r="I149" s="589"/>
      <c r="J149" s="608"/>
      <c r="K149" s="577"/>
      <c r="L149" s="565"/>
    </row>
    <row r="150" spans="1:12" ht="15" thickBot="1">
      <c r="A150" s="565"/>
      <c r="B150" s="575"/>
      <c r="C150" s="576"/>
      <c r="D150" s="576"/>
      <c r="E150" s="576"/>
      <c r="F150" s="576"/>
      <c r="G150" s="576"/>
      <c r="H150" s="576"/>
      <c r="I150" s="576"/>
      <c r="J150" s="576"/>
      <c r="K150" s="577"/>
      <c r="L150" s="565"/>
    </row>
    <row r="151" spans="1:12">
      <c r="A151" s="565"/>
      <c r="B151" s="565"/>
      <c r="C151" s="565"/>
      <c r="D151" s="565"/>
      <c r="E151" s="565"/>
      <c r="F151" s="565"/>
      <c r="G151" s="565"/>
      <c r="H151" s="565"/>
      <c r="I151" s="565"/>
      <c r="J151" s="565"/>
      <c r="K151" s="565"/>
      <c r="L151" s="565"/>
    </row>
    <row r="152" spans="1:12">
      <c r="A152" s="565"/>
      <c r="B152" s="565"/>
      <c r="C152" s="565"/>
      <c r="D152" s="565"/>
      <c r="E152" s="565"/>
      <c r="F152" s="565"/>
      <c r="G152" s="565"/>
      <c r="H152" s="565"/>
      <c r="I152" s="565"/>
      <c r="J152" s="565"/>
      <c r="K152" s="565"/>
      <c r="L152" s="565"/>
    </row>
    <row r="153" spans="1:12">
      <c r="A153" s="565"/>
      <c r="B153" s="565"/>
      <c r="C153" s="565"/>
      <c r="D153" s="565"/>
      <c r="E153" s="565"/>
      <c r="F153" s="565"/>
      <c r="G153" s="565"/>
      <c r="H153" s="565"/>
      <c r="I153" s="565"/>
      <c r="J153" s="565"/>
      <c r="K153" s="565"/>
      <c r="L153" s="565"/>
    </row>
    <row r="154" spans="1:12">
      <c r="A154" s="615"/>
      <c r="B154" s="615"/>
      <c r="C154" s="615"/>
      <c r="D154" s="615"/>
      <c r="E154" s="615"/>
      <c r="F154" s="615"/>
      <c r="G154" s="615"/>
      <c r="H154" s="615"/>
      <c r="I154" s="615"/>
      <c r="J154" s="615"/>
      <c r="K154" s="615"/>
      <c r="L154" s="615"/>
    </row>
    <row r="155" spans="1:12">
      <c r="A155" s="615"/>
      <c r="B155" s="615"/>
      <c r="C155" s="615"/>
      <c r="D155" s="615"/>
      <c r="E155" s="615"/>
      <c r="F155" s="615"/>
      <c r="G155" s="615"/>
      <c r="H155" s="615"/>
      <c r="I155" s="615"/>
      <c r="J155" s="615"/>
      <c r="K155" s="615"/>
      <c r="L155" s="615"/>
    </row>
    <row r="156" spans="1:12">
      <c r="A156" s="615"/>
      <c r="B156" s="615"/>
      <c r="C156" s="615"/>
      <c r="D156" s="615"/>
      <c r="E156" s="615"/>
      <c r="F156" s="615"/>
      <c r="G156" s="615"/>
      <c r="H156" s="615"/>
      <c r="I156" s="615"/>
      <c r="J156" s="615"/>
      <c r="K156" s="615"/>
      <c r="L156" s="615"/>
    </row>
    <row r="157" spans="1:12">
      <c r="A157" s="615"/>
      <c r="B157" s="615"/>
      <c r="C157" s="615"/>
      <c r="D157" s="615"/>
      <c r="E157" s="615"/>
      <c r="F157" s="615"/>
      <c r="G157" s="615"/>
      <c r="H157" s="615"/>
      <c r="I157" s="615"/>
      <c r="J157" s="615"/>
      <c r="K157" s="615"/>
      <c r="L157" s="615"/>
    </row>
    <row r="158" spans="1:12">
      <c r="A158" s="615"/>
      <c r="B158" s="615"/>
      <c r="C158" s="615"/>
      <c r="D158" s="615"/>
      <c r="E158" s="615"/>
      <c r="F158" s="615"/>
      <c r="G158" s="615"/>
      <c r="H158" s="615"/>
      <c r="I158" s="615"/>
      <c r="J158" s="615"/>
      <c r="K158" s="615"/>
      <c r="L158" s="615"/>
    </row>
    <row r="159" spans="1:12">
      <c r="A159" s="615"/>
      <c r="B159" s="615"/>
      <c r="C159" s="615"/>
      <c r="D159" s="615"/>
      <c r="E159" s="615"/>
      <c r="F159" s="615"/>
      <c r="G159" s="615"/>
      <c r="H159" s="615"/>
      <c r="I159" s="615"/>
      <c r="J159" s="615"/>
      <c r="K159" s="615"/>
      <c r="L159" s="615"/>
    </row>
    <row r="160" spans="1:12">
      <c r="A160" s="615"/>
      <c r="B160" s="615"/>
      <c r="C160" s="615"/>
      <c r="D160" s="615"/>
      <c r="E160" s="615"/>
      <c r="F160" s="615"/>
      <c r="G160" s="615"/>
      <c r="H160" s="615"/>
      <c r="I160" s="615"/>
      <c r="J160" s="615"/>
      <c r="K160" s="615"/>
      <c r="L160" s="615"/>
    </row>
    <row r="161" spans="1:12">
      <c r="A161" s="615"/>
      <c r="B161" s="615"/>
      <c r="C161" s="615"/>
      <c r="D161" s="615"/>
      <c r="E161" s="615"/>
      <c r="F161" s="615"/>
      <c r="G161" s="615"/>
      <c r="H161" s="615"/>
      <c r="I161" s="615"/>
      <c r="J161" s="615"/>
      <c r="K161" s="615"/>
      <c r="L161" s="615"/>
    </row>
    <row r="162" spans="1:12">
      <c r="A162" s="615"/>
      <c r="B162" s="615"/>
      <c r="C162" s="615"/>
      <c r="D162" s="615"/>
      <c r="E162" s="615"/>
      <c r="F162" s="615"/>
      <c r="G162" s="615"/>
      <c r="H162" s="615"/>
      <c r="I162" s="615"/>
      <c r="J162" s="615"/>
      <c r="K162" s="615"/>
      <c r="L162" s="615"/>
    </row>
    <row r="163" spans="1:12">
      <c r="A163" s="615"/>
      <c r="B163" s="615"/>
      <c r="C163" s="615"/>
      <c r="D163" s="615"/>
      <c r="E163" s="615"/>
      <c r="F163" s="615"/>
      <c r="G163" s="615"/>
      <c r="H163" s="615"/>
      <c r="I163" s="615"/>
      <c r="J163" s="615"/>
      <c r="K163" s="615"/>
      <c r="L163" s="615"/>
    </row>
    <row r="164" spans="1:12">
      <c r="A164" s="615"/>
      <c r="B164" s="615"/>
      <c r="C164" s="615"/>
      <c r="D164" s="615"/>
      <c r="E164" s="615"/>
      <c r="F164" s="615"/>
      <c r="G164" s="615"/>
      <c r="H164" s="615"/>
      <c r="I164" s="615"/>
      <c r="J164" s="615"/>
      <c r="K164" s="615"/>
      <c r="L164" s="615"/>
    </row>
    <row r="165" spans="1:12">
      <c r="A165" s="615"/>
      <c r="B165" s="615"/>
      <c r="C165" s="615"/>
      <c r="D165" s="615"/>
      <c r="E165" s="615"/>
      <c r="F165" s="615"/>
      <c r="G165" s="615"/>
      <c r="H165" s="615"/>
      <c r="I165" s="615"/>
      <c r="J165" s="615"/>
      <c r="K165" s="615"/>
      <c r="L165" s="615"/>
    </row>
    <row r="166" spans="1:12">
      <c r="A166" s="615"/>
      <c r="B166" s="615"/>
      <c r="C166" s="615"/>
      <c r="D166" s="615"/>
      <c r="E166" s="615"/>
      <c r="F166" s="615"/>
      <c r="G166" s="615"/>
      <c r="H166" s="615"/>
      <c r="I166" s="615"/>
      <c r="J166" s="615"/>
      <c r="K166" s="615"/>
      <c r="L166" s="615"/>
    </row>
    <row r="167" spans="1:12">
      <c r="A167" s="615"/>
      <c r="B167" s="615"/>
      <c r="C167" s="615"/>
      <c r="D167" s="615"/>
      <c r="E167" s="615"/>
      <c r="F167" s="615"/>
      <c r="G167" s="615"/>
      <c r="H167" s="615"/>
      <c r="I167" s="615"/>
      <c r="J167" s="615"/>
      <c r="K167" s="615"/>
      <c r="L167" s="615"/>
    </row>
    <row r="168" spans="1:12">
      <c r="A168" s="615"/>
      <c r="B168" s="615"/>
      <c r="C168" s="615"/>
      <c r="D168" s="615"/>
      <c r="E168" s="615"/>
      <c r="F168" s="615"/>
      <c r="G168" s="615"/>
      <c r="H168" s="615"/>
      <c r="I168" s="615"/>
      <c r="J168" s="615"/>
      <c r="K168" s="615"/>
      <c r="L168" s="615"/>
    </row>
    <row r="169" spans="1:12">
      <c r="A169" s="615"/>
      <c r="B169" s="615"/>
      <c r="C169" s="615"/>
      <c r="D169" s="615"/>
      <c r="E169" s="615"/>
      <c r="F169" s="615"/>
      <c r="G169" s="615"/>
      <c r="H169" s="615"/>
      <c r="I169" s="615"/>
      <c r="J169" s="615"/>
      <c r="K169" s="615"/>
      <c r="L169" s="615"/>
    </row>
    <row r="170" spans="1:12">
      <c r="A170" s="615"/>
      <c r="B170" s="615"/>
      <c r="C170" s="615"/>
      <c r="D170" s="615"/>
      <c r="E170" s="615"/>
      <c r="F170" s="615"/>
      <c r="G170" s="615"/>
      <c r="H170" s="615"/>
      <c r="I170" s="615"/>
      <c r="J170" s="615"/>
      <c r="K170" s="615"/>
      <c r="L170" s="615"/>
    </row>
    <row r="171" spans="1:12">
      <c r="A171" s="615"/>
      <c r="B171" s="615"/>
      <c r="C171" s="615"/>
      <c r="D171" s="615"/>
      <c r="E171" s="615"/>
      <c r="F171" s="615"/>
      <c r="G171" s="615"/>
      <c r="H171" s="615"/>
      <c r="I171" s="615"/>
      <c r="J171" s="615"/>
      <c r="K171" s="615"/>
      <c r="L171" s="615"/>
    </row>
    <row r="172" spans="1:12">
      <c r="A172" s="615"/>
      <c r="B172" s="615"/>
      <c r="C172" s="615"/>
      <c r="D172" s="615"/>
      <c r="E172" s="615"/>
      <c r="F172" s="615"/>
      <c r="G172" s="615"/>
      <c r="H172" s="615"/>
      <c r="I172" s="615"/>
      <c r="J172" s="615"/>
      <c r="K172" s="615"/>
      <c r="L172" s="615"/>
    </row>
    <row r="173" spans="1:12">
      <c r="A173" s="615"/>
      <c r="B173" s="615"/>
      <c r="C173" s="615"/>
      <c r="D173" s="615"/>
      <c r="E173" s="615"/>
      <c r="F173" s="615"/>
      <c r="G173" s="615"/>
      <c r="H173" s="615"/>
      <c r="I173" s="615"/>
      <c r="J173" s="615"/>
      <c r="K173" s="615"/>
      <c r="L173" s="615"/>
    </row>
    <row r="174" spans="1:12">
      <c r="A174" s="615"/>
      <c r="B174" s="615"/>
      <c r="C174" s="615"/>
      <c r="D174" s="615"/>
      <c r="E174" s="615"/>
      <c r="F174" s="615"/>
      <c r="G174" s="615"/>
      <c r="H174" s="615"/>
      <c r="I174" s="615"/>
      <c r="J174" s="615"/>
      <c r="K174" s="615"/>
      <c r="L174" s="615"/>
    </row>
    <row r="175" spans="1:12">
      <c r="A175" s="615"/>
      <c r="B175" s="615"/>
      <c r="C175" s="615"/>
      <c r="D175" s="615"/>
      <c r="E175" s="615"/>
      <c r="F175" s="615"/>
      <c r="G175" s="615"/>
      <c r="H175" s="615"/>
      <c r="I175" s="615"/>
      <c r="J175" s="615"/>
      <c r="K175" s="615"/>
      <c r="L175" s="615"/>
    </row>
    <row r="176" spans="1:12">
      <c r="A176" s="615"/>
      <c r="B176" s="615"/>
      <c r="C176" s="615"/>
      <c r="D176" s="615"/>
      <c r="E176" s="615"/>
      <c r="F176" s="615"/>
      <c r="G176" s="615"/>
      <c r="H176" s="615"/>
      <c r="I176" s="615"/>
      <c r="J176" s="615"/>
      <c r="K176" s="615"/>
      <c r="L176" s="615"/>
    </row>
    <row r="177" spans="1:12">
      <c r="A177" s="615"/>
      <c r="B177" s="615"/>
      <c r="C177" s="615"/>
      <c r="D177" s="615"/>
      <c r="E177" s="615"/>
      <c r="F177" s="615"/>
      <c r="G177" s="615"/>
      <c r="H177" s="615"/>
      <c r="I177" s="615"/>
      <c r="J177" s="615"/>
      <c r="K177" s="615"/>
      <c r="L177" s="615"/>
    </row>
    <row r="178" spans="1:12">
      <c r="A178" s="615"/>
      <c r="B178" s="615"/>
      <c r="C178" s="615"/>
      <c r="D178" s="615"/>
      <c r="E178" s="615"/>
      <c r="F178" s="615"/>
      <c r="G178" s="615"/>
      <c r="H178" s="615"/>
      <c r="I178" s="615"/>
      <c r="J178" s="615"/>
      <c r="K178" s="615"/>
      <c r="L178" s="615"/>
    </row>
    <row r="179" spans="1:12">
      <c r="A179" s="615"/>
      <c r="B179" s="615"/>
      <c r="C179" s="615"/>
      <c r="D179" s="615"/>
      <c r="E179" s="615"/>
      <c r="F179" s="615"/>
      <c r="G179" s="615"/>
      <c r="H179" s="615"/>
      <c r="I179" s="615"/>
      <c r="J179" s="615"/>
      <c r="K179" s="615"/>
      <c r="L179" s="615"/>
    </row>
    <row r="180" spans="1:12">
      <c r="A180" s="615"/>
      <c r="B180" s="615"/>
      <c r="C180" s="615"/>
      <c r="D180" s="615"/>
      <c r="E180" s="615"/>
      <c r="F180" s="615"/>
      <c r="G180" s="615"/>
      <c r="H180" s="615"/>
      <c r="I180" s="615"/>
      <c r="J180" s="615"/>
      <c r="K180" s="615"/>
      <c r="L180" s="615"/>
    </row>
    <row r="181" spans="1:12">
      <c r="A181" s="615"/>
      <c r="B181" s="615"/>
      <c r="C181" s="615"/>
      <c r="D181" s="615"/>
      <c r="E181" s="615"/>
      <c r="F181" s="615"/>
      <c r="G181" s="615"/>
      <c r="H181" s="615"/>
      <c r="I181" s="615"/>
      <c r="J181" s="615"/>
      <c r="K181" s="615"/>
      <c r="L181" s="615"/>
    </row>
    <row r="182" spans="1:12">
      <c r="A182" s="615"/>
      <c r="B182" s="615"/>
      <c r="C182" s="615"/>
      <c r="D182" s="615"/>
      <c r="E182" s="615"/>
      <c r="F182" s="615"/>
      <c r="G182" s="615"/>
      <c r="H182" s="615"/>
      <c r="I182" s="615"/>
      <c r="J182" s="615"/>
      <c r="K182" s="615"/>
      <c r="L182" s="615"/>
    </row>
    <row r="183" spans="1:12">
      <c r="A183" s="615"/>
      <c r="B183" s="615"/>
      <c r="C183" s="615"/>
      <c r="D183" s="615"/>
      <c r="E183" s="615"/>
      <c r="F183" s="615"/>
      <c r="G183" s="615"/>
      <c r="H183" s="615"/>
      <c r="I183" s="615"/>
      <c r="J183" s="615"/>
      <c r="K183" s="615"/>
      <c r="L183" s="615"/>
    </row>
    <row r="184" spans="1:12">
      <c r="A184" s="615"/>
      <c r="B184" s="615"/>
      <c r="C184" s="615"/>
      <c r="D184" s="615"/>
      <c r="E184" s="615"/>
      <c r="F184" s="615"/>
      <c r="G184" s="615"/>
      <c r="H184" s="615"/>
      <c r="I184" s="615"/>
      <c r="J184" s="615"/>
      <c r="K184" s="615"/>
      <c r="L184" s="615"/>
    </row>
    <row r="185" spans="1:12">
      <c r="A185" s="615"/>
      <c r="B185" s="615"/>
      <c r="C185" s="615"/>
      <c r="D185" s="615"/>
      <c r="E185" s="615"/>
      <c r="F185" s="615"/>
      <c r="G185" s="615"/>
      <c r="H185" s="615"/>
      <c r="I185" s="615"/>
      <c r="J185" s="615"/>
      <c r="K185" s="615"/>
      <c r="L185" s="615"/>
    </row>
    <row r="186" spans="1:12">
      <c r="A186" s="615"/>
      <c r="B186" s="615"/>
      <c r="C186" s="615"/>
      <c r="D186" s="615"/>
      <c r="E186" s="615"/>
      <c r="F186" s="615"/>
      <c r="G186" s="615"/>
      <c r="H186" s="615"/>
      <c r="I186" s="615"/>
      <c r="J186" s="615"/>
      <c r="K186" s="615"/>
      <c r="L186" s="615"/>
    </row>
    <row r="187" spans="1:12">
      <c r="A187" s="615"/>
      <c r="B187" s="615"/>
      <c r="C187" s="615"/>
      <c r="D187" s="615"/>
      <c r="E187" s="615"/>
      <c r="F187" s="615"/>
      <c r="G187" s="615"/>
      <c r="H187" s="615"/>
      <c r="I187" s="615"/>
      <c r="J187" s="615"/>
      <c r="K187" s="615"/>
      <c r="L187" s="615"/>
    </row>
    <row r="188" spans="1:12">
      <c r="A188" s="615"/>
      <c r="B188" s="615"/>
      <c r="C188" s="615"/>
      <c r="D188" s="615"/>
      <c r="E188" s="615"/>
      <c r="F188" s="615"/>
      <c r="G188" s="615"/>
      <c r="H188" s="615"/>
      <c r="I188" s="615"/>
      <c r="J188" s="615"/>
      <c r="K188" s="615"/>
      <c r="L188" s="615"/>
    </row>
    <row r="189" spans="1:12">
      <c r="A189" s="615"/>
      <c r="B189" s="615"/>
      <c r="C189" s="615"/>
      <c r="D189" s="615"/>
      <c r="E189" s="615"/>
      <c r="F189" s="615"/>
      <c r="G189" s="615"/>
      <c r="H189" s="615"/>
      <c r="I189" s="615"/>
      <c r="J189" s="615"/>
      <c r="K189" s="615"/>
      <c r="L189" s="615"/>
    </row>
    <row r="190" spans="1:12">
      <c r="A190" s="615"/>
      <c r="B190" s="615"/>
      <c r="C190" s="615"/>
      <c r="D190" s="615"/>
      <c r="E190" s="615"/>
      <c r="F190" s="615"/>
      <c r="G190" s="615"/>
      <c r="H190" s="615"/>
      <c r="I190" s="615"/>
      <c r="J190" s="615"/>
      <c r="K190" s="615"/>
      <c r="L190" s="615"/>
    </row>
    <row r="191" spans="1:12">
      <c r="A191" s="615"/>
      <c r="B191" s="615"/>
      <c r="C191" s="615"/>
      <c r="D191" s="615"/>
      <c r="E191" s="615"/>
      <c r="F191" s="615"/>
      <c r="G191" s="615"/>
      <c r="H191" s="615"/>
      <c r="I191" s="615"/>
      <c r="J191" s="615"/>
      <c r="K191" s="615"/>
      <c r="L191" s="615"/>
    </row>
    <row r="192" spans="1:12">
      <c r="A192" s="615"/>
      <c r="B192" s="615"/>
      <c r="C192" s="615"/>
      <c r="D192" s="615"/>
      <c r="E192" s="615"/>
      <c r="F192" s="615"/>
      <c r="G192" s="615"/>
      <c r="H192" s="615"/>
      <c r="I192" s="615"/>
      <c r="J192" s="615"/>
      <c r="K192" s="615"/>
      <c r="L192" s="615"/>
    </row>
    <row r="193" spans="1:12">
      <c r="A193" s="615"/>
      <c r="B193" s="615"/>
      <c r="C193" s="615"/>
      <c r="D193" s="615"/>
      <c r="E193" s="615"/>
      <c r="F193" s="615"/>
      <c r="G193" s="615"/>
      <c r="H193" s="615"/>
      <c r="I193" s="615"/>
      <c r="J193" s="615"/>
      <c r="K193" s="615"/>
      <c r="L193" s="615"/>
    </row>
    <row r="194" spans="1:12">
      <c r="A194" s="615"/>
      <c r="B194" s="615"/>
      <c r="C194" s="615"/>
      <c r="D194" s="615"/>
      <c r="E194" s="615"/>
      <c r="F194" s="615"/>
      <c r="G194" s="615"/>
      <c r="H194" s="615"/>
      <c r="I194" s="615"/>
      <c r="J194" s="615"/>
      <c r="K194" s="615"/>
      <c r="L194" s="615"/>
    </row>
    <row r="195" spans="1:12">
      <c r="A195" s="615"/>
      <c r="B195" s="615"/>
      <c r="C195" s="615"/>
      <c r="D195" s="615"/>
      <c r="E195" s="615"/>
      <c r="F195" s="615"/>
      <c r="G195" s="615"/>
      <c r="H195" s="615"/>
      <c r="I195" s="615"/>
      <c r="J195" s="615"/>
      <c r="K195" s="615"/>
      <c r="L195" s="615"/>
    </row>
    <row r="196" spans="1:12">
      <c r="A196" s="615"/>
      <c r="B196" s="615"/>
      <c r="C196" s="615"/>
      <c r="D196" s="615"/>
      <c r="E196" s="615"/>
      <c r="F196" s="615"/>
      <c r="G196" s="615"/>
      <c r="H196" s="615"/>
      <c r="I196" s="615"/>
      <c r="J196" s="615"/>
      <c r="K196" s="615"/>
      <c r="L196" s="615"/>
    </row>
    <row r="197" spans="1:12">
      <c r="A197" s="615"/>
      <c r="B197" s="615"/>
      <c r="C197" s="615"/>
      <c r="D197" s="615"/>
      <c r="E197" s="615"/>
      <c r="F197" s="615"/>
      <c r="G197" s="615"/>
      <c r="H197" s="615"/>
      <c r="I197" s="615"/>
      <c r="J197" s="615"/>
      <c r="K197" s="615"/>
      <c r="L197" s="615"/>
    </row>
    <row r="198" spans="1:12">
      <c r="A198" s="615"/>
      <c r="B198" s="615"/>
      <c r="C198" s="615"/>
      <c r="D198" s="615"/>
      <c r="E198" s="615"/>
      <c r="F198" s="615"/>
      <c r="G198" s="615"/>
      <c r="H198" s="615"/>
      <c r="I198" s="615"/>
      <c r="J198" s="615"/>
      <c r="K198" s="615"/>
      <c r="L198" s="615"/>
    </row>
    <row r="199" spans="1:12">
      <c r="A199" s="615"/>
      <c r="B199" s="615"/>
      <c r="C199" s="615"/>
      <c r="D199" s="615"/>
      <c r="E199" s="615"/>
      <c r="F199" s="615"/>
      <c r="G199" s="615"/>
      <c r="H199" s="615"/>
      <c r="I199" s="615"/>
      <c r="J199" s="615"/>
      <c r="K199" s="615"/>
      <c r="L199" s="615"/>
    </row>
    <row r="200" spans="1:12">
      <c r="A200" s="615"/>
      <c r="B200" s="615"/>
      <c r="C200" s="615"/>
      <c r="D200" s="615"/>
      <c r="E200" s="615"/>
      <c r="F200" s="615"/>
      <c r="G200" s="615"/>
      <c r="H200" s="615"/>
      <c r="I200" s="615"/>
      <c r="J200" s="615"/>
      <c r="K200" s="615"/>
      <c r="L200" s="615"/>
    </row>
    <row r="201" spans="1:12">
      <c r="A201" s="615"/>
      <c r="B201" s="615"/>
      <c r="C201" s="615"/>
      <c r="D201" s="615"/>
      <c r="E201" s="615"/>
      <c r="F201" s="615"/>
      <c r="G201" s="615"/>
      <c r="H201" s="615"/>
      <c r="I201" s="615"/>
      <c r="J201" s="615"/>
      <c r="K201" s="615"/>
      <c r="L201" s="615"/>
    </row>
    <row r="202" spans="1:12">
      <c r="A202" s="615"/>
      <c r="B202" s="615"/>
      <c r="C202" s="615"/>
      <c r="D202" s="615"/>
      <c r="E202" s="615"/>
      <c r="F202" s="615"/>
      <c r="G202" s="615"/>
      <c r="H202" s="615"/>
      <c r="I202" s="615"/>
      <c r="J202" s="615"/>
      <c r="K202" s="615"/>
      <c r="L202" s="615"/>
    </row>
    <row r="203" spans="1:12">
      <c r="A203" s="615"/>
      <c r="B203" s="615"/>
      <c r="C203" s="615"/>
      <c r="D203" s="615"/>
      <c r="E203" s="615"/>
      <c r="F203" s="615"/>
      <c r="G203" s="615"/>
      <c r="H203" s="615"/>
      <c r="I203" s="615"/>
      <c r="J203" s="615"/>
      <c r="K203" s="615"/>
      <c r="L203" s="615"/>
    </row>
    <row r="204" spans="1:12">
      <c r="A204" s="615"/>
      <c r="B204" s="615"/>
      <c r="C204" s="615"/>
      <c r="D204" s="615"/>
      <c r="E204" s="615"/>
      <c r="F204" s="615"/>
      <c r="G204" s="615"/>
      <c r="H204" s="615"/>
      <c r="I204" s="615"/>
      <c r="J204" s="615"/>
      <c r="K204" s="615"/>
      <c r="L204" s="615"/>
    </row>
    <row r="205" spans="1:12">
      <c r="A205" s="615"/>
      <c r="B205" s="615"/>
      <c r="C205" s="615"/>
      <c r="D205" s="615"/>
      <c r="E205" s="615"/>
      <c r="F205" s="615"/>
      <c r="G205" s="615"/>
      <c r="H205" s="615"/>
      <c r="I205" s="615"/>
      <c r="J205" s="615"/>
      <c r="K205" s="615"/>
      <c r="L205" s="615"/>
    </row>
    <row r="206" spans="1:12">
      <c r="A206" s="615"/>
      <c r="B206" s="615"/>
      <c r="C206" s="615"/>
      <c r="D206" s="615"/>
      <c r="E206" s="615"/>
      <c r="F206" s="615"/>
      <c r="G206" s="615"/>
      <c r="H206" s="615"/>
      <c r="I206" s="615"/>
      <c r="J206" s="615"/>
      <c r="K206" s="615"/>
      <c r="L206" s="615"/>
    </row>
    <row r="207" spans="1:12">
      <c r="A207" s="615"/>
      <c r="B207" s="615"/>
      <c r="C207" s="615"/>
      <c r="D207" s="615"/>
      <c r="E207" s="615"/>
      <c r="F207" s="615"/>
      <c r="G207" s="615"/>
      <c r="H207" s="615"/>
      <c r="I207" s="615"/>
      <c r="J207" s="615"/>
      <c r="K207" s="615"/>
      <c r="L207" s="615"/>
    </row>
    <row r="208" spans="1:12">
      <c r="A208" s="615"/>
      <c r="B208" s="615"/>
      <c r="C208" s="615"/>
      <c r="D208" s="615"/>
      <c r="E208" s="615"/>
      <c r="F208" s="615"/>
      <c r="G208" s="615"/>
      <c r="H208" s="615"/>
      <c r="I208" s="615"/>
      <c r="J208" s="615"/>
      <c r="K208" s="615"/>
      <c r="L208" s="615"/>
    </row>
    <row r="209" spans="1:12">
      <c r="A209" s="615"/>
      <c r="B209" s="615"/>
      <c r="C209" s="615"/>
      <c r="D209" s="615"/>
      <c r="E209" s="615"/>
      <c r="F209" s="615"/>
      <c r="G209" s="615"/>
      <c r="H209" s="615"/>
      <c r="I209" s="615"/>
      <c r="J209" s="615"/>
      <c r="K209" s="615"/>
      <c r="L209" s="615"/>
    </row>
    <row r="210" spans="1:12">
      <c r="A210" s="615"/>
      <c r="B210" s="615"/>
      <c r="C210" s="615"/>
      <c r="D210" s="615"/>
      <c r="E210" s="615"/>
      <c r="F210" s="615"/>
      <c r="G210" s="615"/>
      <c r="H210" s="615"/>
      <c r="I210" s="615"/>
      <c r="J210" s="615"/>
      <c r="K210" s="615"/>
      <c r="L210" s="615"/>
    </row>
    <row r="211" spans="1:12">
      <c r="A211" s="615"/>
      <c r="B211" s="615"/>
      <c r="C211" s="615"/>
      <c r="D211" s="615"/>
      <c r="E211" s="615"/>
      <c r="F211" s="615"/>
      <c r="G211" s="615"/>
      <c r="H211" s="615"/>
      <c r="I211" s="615"/>
      <c r="J211" s="615"/>
      <c r="K211" s="615"/>
      <c r="L211" s="615"/>
    </row>
    <row r="212" spans="1:12">
      <c r="A212" s="615"/>
      <c r="B212" s="615"/>
      <c r="C212" s="615"/>
      <c r="D212" s="615"/>
      <c r="E212" s="615"/>
      <c r="F212" s="615"/>
      <c r="G212" s="615"/>
      <c r="H212" s="615"/>
      <c r="I212" s="615"/>
      <c r="J212" s="615"/>
      <c r="K212" s="615"/>
      <c r="L212" s="615"/>
    </row>
    <row r="213" spans="1:12">
      <c r="A213" s="615"/>
      <c r="B213" s="615"/>
      <c r="C213" s="615"/>
      <c r="D213" s="615"/>
      <c r="E213" s="615"/>
      <c r="F213" s="615"/>
      <c r="G213" s="615"/>
      <c r="H213" s="615"/>
      <c r="I213" s="615"/>
      <c r="J213" s="615"/>
      <c r="K213" s="615"/>
      <c r="L213" s="615"/>
    </row>
    <row r="214" spans="1:12">
      <c r="A214" s="615"/>
      <c r="B214" s="615"/>
      <c r="C214" s="615"/>
      <c r="D214" s="615"/>
      <c r="E214" s="615"/>
      <c r="F214" s="615"/>
      <c r="G214" s="615"/>
      <c r="H214" s="615"/>
      <c r="I214" s="615"/>
      <c r="J214" s="615"/>
      <c r="K214" s="615"/>
      <c r="L214" s="615"/>
    </row>
    <row r="215" spans="1:12">
      <c r="A215" s="615"/>
      <c r="B215" s="615"/>
      <c r="C215" s="615"/>
      <c r="D215" s="615"/>
      <c r="E215" s="615"/>
      <c r="F215" s="615"/>
      <c r="G215" s="615"/>
      <c r="H215" s="615"/>
      <c r="I215" s="615"/>
      <c r="J215" s="615"/>
      <c r="K215" s="615"/>
      <c r="L215" s="615"/>
    </row>
    <row r="216" spans="1:12">
      <c r="A216" s="615"/>
      <c r="B216" s="615"/>
      <c r="C216" s="615"/>
      <c r="D216" s="615"/>
      <c r="E216" s="615"/>
      <c r="F216" s="615"/>
      <c r="G216" s="615"/>
      <c r="H216" s="615"/>
      <c r="I216" s="615"/>
      <c r="J216" s="615"/>
      <c r="K216" s="615"/>
      <c r="L216" s="615"/>
    </row>
    <row r="217" spans="1:12">
      <c r="A217" s="615"/>
      <c r="B217" s="615"/>
      <c r="C217" s="615"/>
      <c r="D217" s="615"/>
      <c r="E217" s="615"/>
      <c r="F217" s="615"/>
      <c r="G217" s="615"/>
      <c r="H217" s="615"/>
      <c r="I217" s="615"/>
      <c r="J217" s="615"/>
      <c r="K217" s="615"/>
      <c r="L217" s="615"/>
    </row>
    <row r="218" spans="1:12">
      <c r="A218" s="615"/>
      <c r="B218" s="615"/>
      <c r="C218" s="615"/>
      <c r="D218" s="615"/>
      <c r="E218" s="615"/>
      <c r="F218" s="615"/>
      <c r="G218" s="615"/>
      <c r="H218" s="615"/>
      <c r="I218" s="615"/>
      <c r="J218" s="615"/>
      <c r="K218" s="615"/>
      <c r="L218" s="615"/>
    </row>
    <row r="219" spans="1:12">
      <c r="A219" s="615"/>
      <c r="B219" s="615"/>
      <c r="C219" s="615"/>
      <c r="D219" s="615"/>
      <c r="E219" s="615"/>
      <c r="F219" s="615"/>
      <c r="G219" s="615"/>
      <c r="H219" s="615"/>
      <c r="I219" s="615"/>
      <c r="J219" s="615"/>
      <c r="K219" s="615"/>
      <c r="L219" s="615"/>
    </row>
    <row r="220" spans="1:12">
      <c r="A220" s="615"/>
      <c r="B220" s="615"/>
      <c r="C220" s="615"/>
      <c r="D220" s="615"/>
      <c r="E220" s="615"/>
      <c r="F220" s="615"/>
      <c r="G220" s="615"/>
      <c r="H220" s="615"/>
      <c r="I220" s="615"/>
      <c r="J220" s="615"/>
      <c r="K220" s="615"/>
      <c r="L220" s="615"/>
    </row>
    <row r="221" spans="1:12">
      <c r="A221" s="615"/>
      <c r="B221" s="615"/>
      <c r="C221" s="615"/>
      <c r="D221" s="615"/>
      <c r="E221" s="615"/>
      <c r="F221" s="615"/>
      <c r="G221" s="615"/>
      <c r="H221" s="615"/>
      <c r="I221" s="615"/>
      <c r="J221" s="615"/>
      <c r="K221" s="615"/>
      <c r="L221" s="615"/>
    </row>
    <row r="222" spans="1:12">
      <c r="A222" s="615"/>
      <c r="B222" s="615"/>
      <c r="C222" s="615"/>
      <c r="D222" s="615"/>
      <c r="E222" s="615"/>
      <c r="F222" s="615"/>
      <c r="G222" s="615"/>
      <c r="H222" s="615"/>
      <c r="I222" s="615"/>
      <c r="J222" s="615"/>
      <c r="K222" s="615"/>
      <c r="L222" s="615"/>
    </row>
    <row r="223" spans="1:12">
      <c r="A223" s="615"/>
      <c r="B223" s="615"/>
      <c r="C223" s="615"/>
      <c r="D223" s="615"/>
      <c r="E223" s="615"/>
      <c r="F223" s="615"/>
      <c r="G223" s="615"/>
      <c r="H223" s="615"/>
      <c r="I223" s="615"/>
      <c r="J223" s="615"/>
      <c r="K223" s="615"/>
      <c r="L223" s="615"/>
    </row>
    <row r="224" spans="1:12">
      <c r="A224" s="615"/>
      <c r="B224" s="615"/>
      <c r="C224" s="615"/>
      <c r="D224" s="615"/>
      <c r="E224" s="615"/>
      <c r="F224" s="615"/>
      <c r="G224" s="615"/>
      <c r="H224" s="615"/>
      <c r="I224" s="615"/>
      <c r="J224" s="615"/>
      <c r="K224" s="615"/>
      <c r="L224" s="615"/>
    </row>
    <row r="225" spans="1:12">
      <c r="A225" s="615"/>
      <c r="B225" s="615"/>
      <c r="C225" s="615"/>
      <c r="D225" s="615"/>
      <c r="E225" s="615"/>
      <c r="F225" s="615"/>
      <c r="G225" s="615"/>
      <c r="H225" s="615"/>
      <c r="I225" s="615"/>
      <c r="J225" s="615"/>
      <c r="K225" s="615"/>
      <c r="L225" s="615"/>
    </row>
    <row r="226" spans="1:12">
      <c r="A226" s="615"/>
      <c r="B226" s="615"/>
      <c r="C226" s="615"/>
      <c r="D226" s="615"/>
      <c r="E226" s="615"/>
      <c r="F226" s="615"/>
      <c r="G226" s="615"/>
      <c r="H226" s="615"/>
      <c r="I226" s="615"/>
      <c r="J226" s="615"/>
      <c r="K226" s="615"/>
      <c r="L226" s="615"/>
    </row>
    <row r="227" spans="1:12">
      <c r="A227" s="615"/>
      <c r="B227" s="615"/>
      <c r="C227" s="615"/>
      <c r="D227" s="615"/>
      <c r="E227" s="615"/>
      <c r="F227" s="615"/>
      <c r="G227" s="615"/>
      <c r="H227" s="615"/>
      <c r="I227" s="615"/>
      <c r="J227" s="615"/>
      <c r="K227" s="615"/>
      <c r="L227" s="615"/>
    </row>
    <row r="228" spans="1:12">
      <c r="A228" s="615"/>
      <c r="B228" s="615"/>
      <c r="C228" s="615"/>
      <c r="D228" s="615"/>
      <c r="E228" s="615"/>
      <c r="F228" s="615"/>
      <c r="G228" s="615"/>
      <c r="H228" s="615"/>
      <c r="I228" s="615"/>
      <c r="J228" s="615"/>
      <c r="K228" s="615"/>
      <c r="L228" s="615"/>
    </row>
    <row r="229" spans="1:12">
      <c r="A229" s="615"/>
      <c r="B229" s="615"/>
      <c r="C229" s="615"/>
      <c r="D229" s="615"/>
      <c r="E229" s="615"/>
      <c r="F229" s="615"/>
      <c r="G229" s="615"/>
      <c r="H229" s="615"/>
      <c r="I229" s="615"/>
      <c r="J229" s="615"/>
      <c r="K229" s="615"/>
      <c r="L229" s="615"/>
    </row>
    <row r="230" spans="1:12">
      <c r="A230" s="615"/>
      <c r="B230" s="615"/>
      <c r="C230" s="615"/>
      <c r="D230" s="615"/>
      <c r="E230" s="615"/>
      <c r="F230" s="615"/>
      <c r="G230" s="615"/>
      <c r="H230" s="615"/>
      <c r="I230" s="615"/>
      <c r="J230" s="615"/>
      <c r="K230" s="615"/>
      <c r="L230" s="615"/>
    </row>
    <row r="231" spans="1:12">
      <c r="A231" s="615"/>
      <c r="B231" s="615"/>
      <c r="C231" s="615"/>
      <c r="D231" s="615"/>
      <c r="E231" s="615"/>
      <c r="F231" s="615"/>
      <c r="G231" s="615"/>
      <c r="H231" s="615"/>
      <c r="I231" s="615"/>
      <c r="J231" s="615"/>
      <c r="K231" s="615"/>
      <c r="L231" s="615"/>
    </row>
    <row r="232" spans="1:12">
      <c r="A232" s="615"/>
      <c r="B232" s="615"/>
      <c r="C232" s="615"/>
      <c r="D232" s="615"/>
      <c r="E232" s="615"/>
      <c r="F232" s="615"/>
      <c r="G232" s="615"/>
      <c r="H232" s="615"/>
      <c r="I232" s="615"/>
      <c r="J232" s="615"/>
      <c r="K232" s="615"/>
      <c r="L232" s="615"/>
    </row>
    <row r="233" spans="1:12">
      <c r="A233" s="615"/>
      <c r="B233" s="615"/>
      <c r="C233" s="615"/>
      <c r="D233" s="615"/>
      <c r="E233" s="615"/>
      <c r="F233" s="615"/>
      <c r="G233" s="615"/>
      <c r="H233" s="615"/>
      <c r="I233" s="615"/>
      <c r="J233" s="615"/>
      <c r="K233" s="615"/>
      <c r="L233" s="615"/>
    </row>
    <row r="234" spans="1:12">
      <c r="A234" s="615"/>
      <c r="B234" s="615"/>
      <c r="C234" s="615"/>
      <c r="D234" s="615"/>
      <c r="E234" s="615"/>
      <c r="F234" s="615"/>
      <c r="G234" s="615"/>
      <c r="H234" s="615"/>
      <c r="I234" s="615"/>
      <c r="J234" s="615"/>
      <c r="K234" s="615"/>
      <c r="L234" s="615"/>
    </row>
    <row r="235" spans="1:12">
      <c r="A235" s="615"/>
      <c r="B235" s="615"/>
      <c r="C235" s="615"/>
      <c r="D235" s="615"/>
      <c r="E235" s="615"/>
      <c r="F235" s="615"/>
      <c r="G235" s="615"/>
      <c r="H235" s="615"/>
      <c r="I235" s="615"/>
      <c r="J235" s="615"/>
      <c r="K235" s="615"/>
      <c r="L235" s="615"/>
    </row>
    <row r="236" spans="1:12">
      <c r="A236" s="615"/>
      <c r="B236" s="615"/>
      <c r="C236" s="615"/>
      <c r="D236" s="615"/>
      <c r="E236" s="615"/>
      <c r="F236" s="615"/>
      <c r="G236" s="615"/>
      <c r="H236" s="615"/>
      <c r="I236" s="615"/>
      <c r="J236" s="615"/>
      <c r="K236" s="615"/>
      <c r="L236" s="615"/>
    </row>
    <row r="237" spans="1:12">
      <c r="A237" s="615"/>
      <c r="B237" s="615"/>
      <c r="C237" s="615"/>
      <c r="D237" s="615"/>
      <c r="E237" s="615"/>
      <c r="F237" s="615"/>
      <c r="G237" s="615"/>
      <c r="H237" s="615"/>
      <c r="I237" s="615"/>
      <c r="J237" s="615"/>
      <c r="K237" s="615"/>
      <c r="L237" s="615"/>
    </row>
    <row r="238" spans="1:12">
      <c r="A238" s="615"/>
      <c r="B238" s="615"/>
      <c r="C238" s="615"/>
      <c r="D238" s="615"/>
      <c r="E238" s="615"/>
      <c r="F238" s="615"/>
      <c r="G238" s="615"/>
      <c r="H238" s="615"/>
      <c r="I238" s="615"/>
      <c r="J238" s="615"/>
      <c r="K238" s="615"/>
      <c r="L238" s="615"/>
    </row>
    <row r="239" spans="1:12">
      <c r="A239" s="615"/>
      <c r="B239" s="615"/>
      <c r="C239" s="615"/>
      <c r="D239" s="615"/>
      <c r="E239" s="615"/>
      <c r="F239" s="615"/>
      <c r="G239" s="615"/>
      <c r="H239" s="615"/>
      <c r="I239" s="615"/>
      <c r="J239" s="615"/>
      <c r="K239" s="615"/>
      <c r="L239" s="615"/>
    </row>
    <row r="240" spans="1:12">
      <c r="A240" s="615"/>
      <c r="B240" s="615"/>
      <c r="C240" s="615"/>
      <c r="D240" s="615"/>
      <c r="E240" s="615"/>
      <c r="F240" s="615"/>
      <c r="G240" s="615"/>
      <c r="H240" s="615"/>
      <c r="I240" s="615"/>
      <c r="J240" s="615"/>
      <c r="K240" s="615"/>
      <c r="L240" s="615"/>
    </row>
    <row r="241" spans="1:12">
      <c r="A241" s="615"/>
      <c r="B241" s="615"/>
      <c r="C241" s="615"/>
      <c r="D241" s="615"/>
      <c r="E241" s="615"/>
      <c r="F241" s="615"/>
      <c r="G241" s="615"/>
      <c r="H241" s="615"/>
      <c r="I241" s="615"/>
      <c r="J241" s="615"/>
      <c r="K241" s="615"/>
      <c r="L241" s="615"/>
    </row>
    <row r="242" spans="1:12">
      <c r="A242" s="615"/>
      <c r="B242" s="615"/>
      <c r="C242" s="615"/>
      <c r="D242" s="615"/>
      <c r="E242" s="615"/>
      <c r="F242" s="615"/>
      <c r="G242" s="615"/>
      <c r="H242" s="615"/>
      <c r="I242" s="615"/>
      <c r="J242" s="615"/>
      <c r="K242" s="615"/>
      <c r="L242" s="615"/>
    </row>
    <row r="243" spans="1:12">
      <c r="A243" s="615"/>
      <c r="B243" s="615"/>
      <c r="C243" s="615"/>
      <c r="D243" s="615"/>
      <c r="E243" s="615"/>
      <c r="F243" s="615"/>
      <c r="G243" s="615"/>
      <c r="H243" s="615"/>
      <c r="I243" s="615"/>
      <c r="J243" s="615"/>
      <c r="K243" s="615"/>
      <c r="L243" s="615"/>
    </row>
    <row r="244" spans="1:12">
      <c r="A244" s="615"/>
      <c r="B244" s="615"/>
      <c r="C244" s="615"/>
      <c r="D244" s="615"/>
      <c r="E244" s="615"/>
      <c r="F244" s="615"/>
      <c r="G244" s="615"/>
      <c r="H244" s="615"/>
      <c r="I244" s="615"/>
      <c r="J244" s="615"/>
      <c r="K244" s="615"/>
      <c r="L244" s="615"/>
    </row>
    <row r="245" spans="1:12">
      <c r="A245" s="615"/>
      <c r="B245" s="615"/>
      <c r="C245" s="615"/>
      <c r="D245" s="615"/>
      <c r="E245" s="615"/>
      <c r="F245" s="615"/>
      <c r="G245" s="615"/>
      <c r="H245" s="615"/>
      <c r="I245" s="615"/>
      <c r="J245" s="615"/>
      <c r="K245" s="615"/>
      <c r="L245" s="615"/>
    </row>
    <row r="246" spans="1:12">
      <c r="A246" s="615"/>
      <c r="B246" s="615"/>
      <c r="C246" s="615"/>
      <c r="D246" s="615"/>
      <c r="E246" s="615"/>
      <c r="F246" s="615"/>
      <c r="G246" s="615"/>
      <c r="H246" s="615"/>
      <c r="I246" s="615"/>
      <c r="J246" s="615"/>
      <c r="K246" s="615"/>
      <c r="L246" s="615"/>
    </row>
    <row r="247" spans="1:12">
      <c r="A247" s="615"/>
      <c r="B247" s="615"/>
      <c r="C247" s="615"/>
      <c r="D247" s="615"/>
      <c r="E247" s="615"/>
      <c r="F247" s="615"/>
      <c r="G247" s="615"/>
      <c r="H247" s="615"/>
      <c r="I247" s="615"/>
      <c r="J247" s="615"/>
      <c r="K247" s="615"/>
      <c r="L247" s="615"/>
    </row>
    <row r="248" spans="1:12">
      <c r="A248" s="615"/>
      <c r="B248" s="615"/>
      <c r="C248" s="615"/>
      <c r="D248" s="615"/>
      <c r="E248" s="615"/>
      <c r="F248" s="615"/>
      <c r="G248" s="615"/>
      <c r="H248" s="615"/>
      <c r="I248" s="615"/>
      <c r="J248" s="615"/>
      <c r="K248" s="615"/>
      <c r="L248" s="615"/>
    </row>
    <row r="249" spans="1:12">
      <c r="A249" s="615"/>
      <c r="B249" s="615"/>
      <c r="C249" s="615"/>
      <c r="D249" s="615"/>
      <c r="E249" s="615"/>
      <c r="F249" s="615"/>
      <c r="G249" s="615"/>
      <c r="H249" s="615"/>
      <c r="I249" s="615"/>
      <c r="J249" s="615"/>
      <c r="K249" s="615"/>
      <c r="L249" s="615"/>
    </row>
    <row r="250" spans="1:12">
      <c r="A250" s="615"/>
      <c r="B250" s="615"/>
      <c r="C250" s="615"/>
      <c r="D250" s="615"/>
      <c r="E250" s="615"/>
      <c r="F250" s="615"/>
      <c r="G250" s="615"/>
      <c r="H250" s="615"/>
      <c r="I250" s="615"/>
      <c r="J250" s="615"/>
      <c r="K250" s="615"/>
      <c r="L250" s="615"/>
    </row>
    <row r="251" spans="1:12">
      <c r="A251" s="615"/>
      <c r="B251" s="615"/>
      <c r="C251" s="615"/>
      <c r="D251" s="615"/>
      <c r="E251" s="615"/>
      <c r="F251" s="615"/>
      <c r="G251" s="615"/>
      <c r="H251" s="615"/>
      <c r="I251" s="615"/>
      <c r="J251" s="615"/>
      <c r="K251" s="615"/>
      <c r="L251" s="615"/>
    </row>
    <row r="252" spans="1:12">
      <c r="A252" s="615"/>
      <c r="B252" s="615"/>
      <c r="C252" s="615"/>
      <c r="D252" s="615"/>
      <c r="E252" s="615"/>
      <c r="F252" s="615"/>
      <c r="G252" s="615"/>
      <c r="H252" s="615"/>
      <c r="I252" s="615"/>
      <c r="J252" s="615"/>
      <c r="K252" s="615"/>
      <c r="L252" s="615"/>
    </row>
    <row r="253" spans="1:12">
      <c r="A253" s="615"/>
      <c r="B253" s="615"/>
      <c r="C253" s="615"/>
      <c r="D253" s="615"/>
      <c r="E253" s="615"/>
      <c r="F253" s="615"/>
      <c r="G253" s="615"/>
      <c r="H253" s="615"/>
      <c r="I253" s="615"/>
      <c r="J253" s="615"/>
      <c r="K253" s="615"/>
      <c r="L253" s="615"/>
    </row>
    <row r="254" spans="1:12">
      <c r="A254" s="615"/>
      <c r="B254" s="615"/>
      <c r="C254" s="615"/>
      <c r="D254" s="615"/>
      <c r="E254" s="615"/>
      <c r="F254" s="615"/>
      <c r="G254" s="615"/>
      <c r="H254" s="615"/>
      <c r="I254" s="615"/>
      <c r="J254" s="615"/>
      <c r="K254" s="615"/>
      <c r="L254" s="615"/>
    </row>
    <row r="255" spans="1:12">
      <c r="A255" s="615"/>
      <c r="B255" s="615"/>
      <c r="C255" s="615"/>
      <c r="D255" s="615"/>
      <c r="E255" s="615"/>
      <c r="F255" s="615"/>
      <c r="G255" s="615"/>
      <c r="H255" s="615"/>
      <c r="I255" s="615"/>
      <c r="J255" s="615"/>
      <c r="K255" s="615"/>
      <c r="L255" s="615"/>
    </row>
    <row r="256" spans="1:12">
      <c r="A256" s="615"/>
      <c r="B256" s="615"/>
      <c r="C256" s="615"/>
      <c r="D256" s="615"/>
      <c r="E256" s="615"/>
      <c r="F256" s="615"/>
      <c r="G256" s="615"/>
      <c r="H256" s="615"/>
      <c r="I256" s="615"/>
      <c r="J256" s="615"/>
      <c r="K256" s="615"/>
      <c r="L256" s="615"/>
    </row>
    <row r="257" spans="1:12">
      <c r="A257" s="615"/>
      <c r="B257" s="615"/>
      <c r="C257" s="615"/>
      <c r="D257" s="615"/>
      <c r="E257" s="615"/>
      <c r="F257" s="615"/>
      <c r="G257" s="615"/>
      <c r="H257" s="615"/>
      <c r="I257" s="615"/>
      <c r="J257" s="615"/>
      <c r="K257" s="615"/>
      <c r="L257" s="615"/>
    </row>
    <row r="258" spans="1:12">
      <c r="A258" s="615"/>
      <c r="B258" s="615"/>
      <c r="C258" s="615"/>
      <c r="D258" s="615"/>
      <c r="E258" s="615"/>
      <c r="F258" s="615"/>
      <c r="G258" s="615"/>
      <c r="H258" s="615"/>
      <c r="I258" s="615"/>
      <c r="J258" s="615"/>
      <c r="K258" s="615"/>
      <c r="L258" s="615"/>
    </row>
    <row r="259" spans="1:12">
      <c r="A259" s="615"/>
      <c r="B259" s="615"/>
      <c r="C259" s="615"/>
      <c r="D259" s="615"/>
      <c r="E259" s="615"/>
      <c r="F259" s="615"/>
      <c r="G259" s="615"/>
      <c r="H259" s="615"/>
      <c r="I259" s="615"/>
      <c r="J259" s="615"/>
      <c r="K259" s="615"/>
      <c r="L259" s="615"/>
    </row>
    <row r="260" spans="1:12">
      <c r="A260" s="615"/>
      <c r="B260" s="615"/>
      <c r="C260" s="615"/>
      <c r="D260" s="615"/>
      <c r="E260" s="615"/>
      <c r="F260" s="615"/>
      <c r="G260" s="615"/>
      <c r="H260" s="615"/>
      <c r="I260" s="615"/>
      <c r="J260" s="615"/>
      <c r="K260" s="615"/>
      <c r="L260" s="615"/>
    </row>
    <row r="261" spans="1:12">
      <c r="A261" s="615"/>
      <c r="B261" s="615"/>
      <c r="C261" s="615"/>
      <c r="D261" s="615"/>
      <c r="E261" s="615"/>
      <c r="F261" s="615"/>
      <c r="G261" s="615"/>
      <c r="H261" s="615"/>
      <c r="I261" s="615"/>
      <c r="J261" s="615"/>
      <c r="K261" s="615"/>
      <c r="L261" s="615"/>
    </row>
    <row r="262" spans="1:12">
      <c r="A262" s="615"/>
      <c r="B262" s="615"/>
      <c r="C262" s="615"/>
      <c r="D262" s="615"/>
      <c r="E262" s="615"/>
      <c r="F262" s="615"/>
      <c r="G262" s="615"/>
      <c r="H262" s="615"/>
      <c r="I262" s="615"/>
      <c r="J262" s="615"/>
      <c r="K262" s="615"/>
      <c r="L262" s="615"/>
    </row>
    <row r="263" spans="1:12">
      <c r="A263" s="615"/>
      <c r="B263" s="615"/>
      <c r="C263" s="615"/>
      <c r="D263" s="615"/>
      <c r="E263" s="615"/>
      <c r="F263" s="615"/>
      <c r="G263" s="615"/>
      <c r="H263" s="615"/>
      <c r="I263" s="615"/>
      <c r="J263" s="615"/>
      <c r="K263" s="615"/>
      <c r="L263" s="615"/>
    </row>
    <row r="264" spans="1:12">
      <c r="A264" s="615"/>
      <c r="B264" s="615"/>
      <c r="C264" s="615"/>
      <c r="D264" s="615"/>
      <c r="E264" s="615"/>
      <c r="F264" s="615"/>
      <c r="G264" s="615"/>
      <c r="H264" s="615"/>
      <c r="I264" s="615"/>
      <c r="J264" s="615"/>
      <c r="K264" s="615"/>
      <c r="L264" s="615"/>
    </row>
    <row r="265" spans="1:12">
      <c r="A265" s="615"/>
      <c r="B265" s="615"/>
      <c r="C265" s="615"/>
      <c r="D265" s="615"/>
      <c r="E265" s="615"/>
      <c r="F265" s="615"/>
      <c r="G265" s="615"/>
      <c r="H265" s="615"/>
      <c r="I265" s="615"/>
      <c r="J265" s="615"/>
      <c r="K265" s="615"/>
      <c r="L265" s="615"/>
    </row>
    <row r="266" spans="1:12">
      <c r="A266" s="615"/>
      <c r="B266" s="615"/>
      <c r="C266" s="615"/>
      <c r="D266" s="615"/>
      <c r="E266" s="615"/>
      <c r="F266" s="615"/>
      <c r="G266" s="615"/>
      <c r="H266" s="615"/>
      <c r="I266" s="615"/>
      <c r="J266" s="615"/>
      <c r="K266" s="615"/>
      <c r="L266" s="615"/>
    </row>
    <row r="267" spans="1:12">
      <c r="A267" s="615"/>
      <c r="B267" s="615"/>
      <c r="C267" s="615"/>
      <c r="D267" s="615"/>
      <c r="E267" s="615"/>
      <c r="F267" s="615"/>
      <c r="G267" s="615"/>
      <c r="H267" s="615"/>
      <c r="I267" s="615"/>
      <c r="J267" s="615"/>
      <c r="K267" s="615"/>
      <c r="L267" s="615"/>
    </row>
    <row r="268" spans="1:12">
      <c r="A268" s="615"/>
      <c r="B268" s="615"/>
      <c r="C268" s="615"/>
      <c r="D268" s="615"/>
      <c r="E268" s="615"/>
      <c r="F268" s="615"/>
      <c r="G268" s="615"/>
      <c r="H268" s="615"/>
      <c r="I268" s="615"/>
      <c r="J268" s="615"/>
      <c r="K268" s="615"/>
      <c r="L268" s="615"/>
    </row>
    <row r="269" spans="1:12">
      <c r="A269" s="615"/>
      <c r="B269" s="615"/>
      <c r="C269" s="615"/>
      <c r="D269" s="615"/>
      <c r="E269" s="615"/>
      <c r="F269" s="615"/>
      <c r="G269" s="615"/>
      <c r="H269" s="615"/>
      <c r="I269" s="615"/>
      <c r="J269" s="615"/>
      <c r="K269" s="615"/>
      <c r="L269" s="615"/>
    </row>
    <row r="270" spans="1:12">
      <c r="A270" s="615"/>
      <c r="B270" s="615"/>
      <c r="C270" s="615"/>
      <c r="D270" s="615"/>
      <c r="E270" s="615"/>
      <c r="F270" s="615"/>
      <c r="G270" s="615"/>
      <c r="H270" s="615"/>
      <c r="I270" s="615"/>
      <c r="J270" s="615"/>
      <c r="K270" s="615"/>
      <c r="L270" s="615"/>
    </row>
    <row r="271" spans="1:12">
      <c r="A271" s="615"/>
      <c r="B271" s="615"/>
      <c r="C271" s="615"/>
      <c r="D271" s="615"/>
      <c r="E271" s="615"/>
      <c r="F271" s="615"/>
      <c r="G271" s="615"/>
      <c r="H271" s="615"/>
      <c r="I271" s="615"/>
      <c r="J271" s="615"/>
      <c r="K271" s="615"/>
      <c r="L271" s="615"/>
    </row>
    <row r="272" spans="1:12">
      <c r="A272" s="615"/>
      <c r="B272" s="615"/>
      <c r="C272" s="615"/>
      <c r="D272" s="615"/>
      <c r="E272" s="615"/>
      <c r="F272" s="615"/>
      <c r="G272" s="615"/>
      <c r="H272" s="615"/>
      <c r="I272" s="615"/>
      <c r="J272" s="615"/>
      <c r="K272" s="615"/>
      <c r="L272" s="615"/>
    </row>
    <row r="273" spans="1:12">
      <c r="A273" s="615"/>
      <c r="B273" s="615"/>
      <c r="C273" s="615"/>
      <c r="D273" s="615"/>
      <c r="E273" s="615"/>
      <c r="F273" s="615"/>
      <c r="G273" s="615"/>
      <c r="H273" s="615"/>
      <c r="I273" s="615"/>
      <c r="J273" s="615"/>
      <c r="K273" s="615"/>
      <c r="L273" s="615"/>
    </row>
    <row r="274" spans="1:12">
      <c r="A274" s="615"/>
      <c r="B274" s="615"/>
      <c r="C274" s="615"/>
      <c r="D274" s="615"/>
      <c r="E274" s="615"/>
      <c r="F274" s="615"/>
      <c r="G274" s="615"/>
      <c r="H274" s="615"/>
      <c r="I274" s="615"/>
      <c r="J274" s="615"/>
      <c r="K274" s="615"/>
      <c r="L274" s="615"/>
    </row>
    <row r="275" spans="1:12">
      <c r="A275" s="615"/>
      <c r="B275" s="615"/>
      <c r="C275" s="615"/>
      <c r="D275" s="615"/>
      <c r="E275" s="615"/>
      <c r="F275" s="615"/>
      <c r="G275" s="615"/>
      <c r="H275" s="615"/>
      <c r="I275" s="615"/>
      <c r="J275" s="615"/>
      <c r="K275" s="615"/>
      <c r="L275" s="615"/>
    </row>
    <row r="276" spans="1:12">
      <c r="A276" s="615"/>
      <c r="B276" s="615"/>
      <c r="C276" s="615"/>
      <c r="D276" s="615"/>
      <c r="E276" s="615"/>
      <c r="F276" s="615"/>
      <c r="G276" s="615"/>
      <c r="H276" s="615"/>
      <c r="I276" s="615"/>
      <c r="J276" s="615"/>
      <c r="K276" s="615"/>
      <c r="L276" s="615"/>
    </row>
    <row r="277" spans="1:12">
      <c r="A277" s="615"/>
      <c r="B277" s="615"/>
      <c r="C277" s="615"/>
      <c r="D277" s="615"/>
      <c r="E277" s="615"/>
      <c r="F277" s="615"/>
      <c r="G277" s="615"/>
      <c r="H277" s="615"/>
      <c r="I277" s="615"/>
      <c r="J277" s="615"/>
      <c r="K277" s="615"/>
      <c r="L277" s="615"/>
    </row>
    <row r="278" spans="1:12">
      <c r="A278" s="615"/>
      <c r="B278" s="615"/>
      <c r="C278" s="615"/>
      <c r="D278" s="615"/>
      <c r="E278" s="615"/>
      <c r="F278" s="615"/>
      <c r="G278" s="615"/>
      <c r="H278" s="615"/>
      <c r="I278" s="615"/>
      <c r="J278" s="615"/>
      <c r="K278" s="615"/>
      <c r="L278" s="615"/>
    </row>
    <row r="279" spans="1:12">
      <c r="A279" s="615"/>
      <c r="B279" s="615"/>
      <c r="C279" s="615"/>
      <c r="D279" s="615"/>
      <c r="E279" s="615"/>
      <c r="F279" s="615"/>
      <c r="G279" s="615"/>
      <c r="H279" s="615"/>
      <c r="I279" s="615"/>
      <c r="J279" s="615"/>
      <c r="K279" s="615"/>
      <c r="L279" s="615"/>
    </row>
    <row r="280" spans="1:12">
      <c r="A280" s="615"/>
      <c r="B280" s="615"/>
      <c r="C280" s="615"/>
      <c r="D280" s="615"/>
      <c r="E280" s="615"/>
      <c r="F280" s="615"/>
      <c r="G280" s="615"/>
      <c r="H280" s="615"/>
      <c r="I280" s="615"/>
      <c r="J280" s="615"/>
      <c r="K280" s="615"/>
      <c r="L280" s="615"/>
    </row>
    <row r="281" spans="1:12">
      <c r="A281" s="615"/>
      <c r="B281" s="615"/>
      <c r="C281" s="615"/>
      <c r="D281" s="615"/>
      <c r="E281" s="615"/>
      <c r="F281" s="615"/>
      <c r="G281" s="615"/>
      <c r="H281" s="615"/>
      <c r="I281" s="615"/>
      <c r="J281" s="615"/>
      <c r="K281" s="615"/>
      <c r="L281" s="615"/>
    </row>
    <row r="282" spans="1:12">
      <c r="A282" s="615"/>
      <c r="B282" s="615"/>
      <c r="C282" s="615"/>
      <c r="D282" s="615"/>
      <c r="E282" s="615"/>
      <c r="F282" s="615"/>
      <c r="G282" s="615"/>
      <c r="H282" s="615"/>
      <c r="I282" s="615"/>
      <c r="J282" s="615"/>
      <c r="K282" s="615"/>
      <c r="L282" s="615"/>
    </row>
    <row r="283" spans="1:12">
      <c r="A283" s="615"/>
      <c r="B283" s="615"/>
      <c r="C283" s="615"/>
      <c r="D283" s="615"/>
      <c r="E283" s="615"/>
      <c r="F283" s="615"/>
      <c r="G283" s="615"/>
      <c r="H283" s="615"/>
      <c r="I283" s="615"/>
      <c r="J283" s="615"/>
      <c r="K283" s="615"/>
      <c r="L283" s="615"/>
    </row>
    <row r="284" spans="1:12">
      <c r="A284" s="615"/>
      <c r="B284" s="615"/>
      <c r="C284" s="615"/>
      <c r="D284" s="615"/>
      <c r="E284" s="615"/>
      <c r="F284" s="615"/>
      <c r="G284" s="615"/>
      <c r="H284" s="615"/>
      <c r="I284" s="615"/>
      <c r="J284" s="615"/>
      <c r="K284" s="615"/>
      <c r="L284" s="615"/>
    </row>
    <row r="285" spans="1:12">
      <c r="A285" s="615"/>
      <c r="B285" s="615"/>
      <c r="C285" s="615"/>
      <c r="D285" s="615"/>
      <c r="E285" s="615"/>
      <c r="F285" s="615"/>
      <c r="G285" s="615"/>
      <c r="H285" s="615"/>
      <c r="I285" s="615"/>
      <c r="J285" s="615"/>
      <c r="K285" s="615"/>
      <c r="L285" s="615"/>
    </row>
    <row r="286" spans="1:12">
      <c r="A286" s="615"/>
      <c r="B286" s="615"/>
      <c r="C286" s="615"/>
      <c r="D286" s="615"/>
      <c r="E286" s="615"/>
      <c r="F286" s="615"/>
      <c r="G286" s="615"/>
      <c r="H286" s="615"/>
      <c r="I286" s="615"/>
      <c r="J286" s="615"/>
      <c r="K286" s="615"/>
      <c r="L286" s="615"/>
    </row>
    <row r="287" spans="1:12">
      <c r="A287" s="615"/>
      <c r="B287" s="615"/>
      <c r="C287" s="615"/>
      <c r="D287" s="615"/>
      <c r="E287" s="615"/>
      <c r="F287" s="615"/>
      <c r="G287" s="615"/>
      <c r="H287" s="615"/>
      <c r="I287" s="615"/>
      <c r="J287" s="615"/>
      <c r="K287" s="615"/>
      <c r="L287" s="615"/>
    </row>
    <row r="288" spans="1:12">
      <c r="A288" s="615"/>
      <c r="B288" s="615"/>
      <c r="C288" s="615"/>
      <c r="D288" s="615"/>
      <c r="E288" s="615"/>
      <c r="F288" s="615"/>
      <c r="G288" s="615"/>
      <c r="H288" s="615"/>
      <c r="I288" s="615"/>
      <c r="J288" s="615"/>
      <c r="K288" s="615"/>
      <c r="L288" s="615"/>
    </row>
    <row r="289" spans="1:12">
      <c r="A289" s="615"/>
      <c r="B289" s="615"/>
      <c r="C289" s="615"/>
      <c r="D289" s="615"/>
      <c r="E289" s="615"/>
      <c r="F289" s="615"/>
      <c r="G289" s="615"/>
      <c r="H289" s="615"/>
      <c r="I289" s="615"/>
      <c r="J289" s="615"/>
      <c r="K289" s="615"/>
      <c r="L289" s="615"/>
    </row>
    <row r="290" spans="1:12">
      <c r="A290" s="615"/>
      <c r="B290" s="615"/>
      <c r="C290" s="615"/>
      <c r="D290" s="615"/>
      <c r="E290" s="615"/>
      <c r="F290" s="615"/>
      <c r="G290" s="615"/>
      <c r="H290" s="615"/>
      <c r="I290" s="615"/>
      <c r="J290" s="615"/>
      <c r="K290" s="615"/>
      <c r="L290" s="615"/>
    </row>
    <row r="291" spans="1:12">
      <c r="A291" s="615"/>
      <c r="B291" s="615"/>
      <c r="C291" s="615"/>
      <c r="D291" s="615"/>
      <c r="E291" s="615"/>
      <c r="F291" s="615"/>
      <c r="G291" s="615"/>
      <c r="H291" s="615"/>
      <c r="I291" s="615"/>
      <c r="J291" s="615"/>
      <c r="K291" s="615"/>
      <c r="L291" s="615"/>
    </row>
    <row r="292" spans="1:12">
      <c r="A292" s="615"/>
      <c r="B292" s="615"/>
      <c r="C292" s="615"/>
      <c r="D292" s="615"/>
      <c r="E292" s="615"/>
      <c r="F292" s="615"/>
      <c r="G292" s="615"/>
      <c r="H292" s="615"/>
      <c r="I292" s="615"/>
      <c r="J292" s="615"/>
      <c r="K292" s="615"/>
      <c r="L292" s="615"/>
    </row>
    <row r="293" spans="1:12">
      <c r="A293" s="615"/>
      <c r="B293" s="615"/>
      <c r="C293" s="615"/>
      <c r="D293" s="615"/>
      <c r="E293" s="615"/>
      <c r="F293" s="615"/>
      <c r="G293" s="615"/>
      <c r="H293" s="615"/>
      <c r="I293" s="615"/>
      <c r="J293" s="615"/>
      <c r="K293" s="615"/>
      <c r="L293" s="615"/>
    </row>
    <row r="294" spans="1:12">
      <c r="A294" s="615"/>
      <c r="B294" s="615"/>
      <c r="C294" s="615"/>
      <c r="D294" s="615"/>
      <c r="E294" s="615"/>
      <c r="F294" s="615"/>
      <c r="G294" s="615"/>
      <c r="H294" s="615"/>
      <c r="I294" s="615"/>
      <c r="J294" s="615"/>
      <c r="K294" s="615"/>
      <c r="L294" s="615"/>
    </row>
    <row r="295" spans="1:12">
      <c r="A295" s="615"/>
      <c r="B295" s="615"/>
      <c r="C295" s="615"/>
      <c r="D295" s="615"/>
      <c r="E295" s="615"/>
      <c r="F295" s="615"/>
      <c r="G295" s="615"/>
      <c r="H295" s="615"/>
      <c r="I295" s="615"/>
      <c r="J295" s="615"/>
      <c r="K295" s="615"/>
      <c r="L295" s="615"/>
    </row>
    <row r="296" spans="1:12">
      <c r="A296" s="615"/>
      <c r="B296" s="615"/>
      <c r="C296" s="615"/>
      <c r="D296" s="615"/>
      <c r="E296" s="615"/>
      <c r="F296" s="615"/>
      <c r="G296" s="615"/>
      <c r="H296" s="615"/>
      <c r="I296" s="615"/>
      <c r="J296" s="615"/>
      <c r="K296" s="615"/>
      <c r="L296" s="615"/>
    </row>
    <row r="297" spans="1:12">
      <c r="A297" s="615"/>
      <c r="B297" s="615"/>
      <c r="C297" s="615"/>
      <c r="D297" s="615"/>
      <c r="E297" s="615"/>
      <c r="F297" s="615"/>
      <c r="G297" s="615"/>
      <c r="H297" s="615"/>
      <c r="I297" s="615"/>
      <c r="J297" s="615"/>
      <c r="K297" s="615"/>
      <c r="L297" s="615"/>
    </row>
    <row r="298" spans="1:12">
      <c r="A298" s="615"/>
      <c r="B298" s="615"/>
      <c r="C298" s="615"/>
      <c r="D298" s="615"/>
      <c r="E298" s="615"/>
      <c r="F298" s="615"/>
      <c r="G298" s="615"/>
      <c r="H298" s="615"/>
      <c r="I298" s="615"/>
      <c r="J298" s="615"/>
      <c r="K298" s="615"/>
      <c r="L298" s="615"/>
    </row>
    <row r="299" spans="1:12">
      <c r="A299" s="615"/>
      <c r="B299" s="615"/>
      <c r="C299" s="615"/>
      <c r="D299" s="615"/>
      <c r="E299" s="615"/>
      <c r="F299" s="615"/>
      <c r="G299" s="615"/>
      <c r="H299" s="615"/>
      <c r="I299" s="615"/>
      <c r="J299" s="615"/>
      <c r="K299" s="615"/>
      <c r="L299" s="615"/>
    </row>
    <row r="300" spans="1:12">
      <c r="A300" s="615"/>
      <c r="B300" s="615"/>
      <c r="C300" s="615"/>
      <c r="D300" s="615"/>
      <c r="E300" s="615"/>
      <c r="F300" s="615"/>
      <c r="G300" s="615"/>
      <c r="H300" s="615"/>
      <c r="I300" s="615"/>
      <c r="J300" s="615"/>
      <c r="K300" s="615"/>
      <c r="L300" s="615"/>
    </row>
    <row r="301" spans="1:12">
      <c r="A301" s="615"/>
      <c r="B301" s="615"/>
      <c r="C301" s="615"/>
      <c r="D301" s="615"/>
      <c r="E301" s="615"/>
      <c r="F301" s="615"/>
      <c r="G301" s="615"/>
      <c r="H301" s="615"/>
      <c r="I301" s="615"/>
      <c r="J301" s="615"/>
      <c r="K301" s="615"/>
      <c r="L301" s="615"/>
    </row>
    <row r="302" spans="1:12">
      <c r="A302" s="615"/>
      <c r="B302" s="615"/>
      <c r="C302" s="615"/>
      <c r="D302" s="615"/>
      <c r="E302" s="615"/>
      <c r="F302" s="615"/>
      <c r="G302" s="615"/>
      <c r="H302" s="615"/>
      <c r="I302" s="615"/>
      <c r="J302" s="615"/>
      <c r="K302" s="615"/>
      <c r="L302" s="615"/>
    </row>
    <row r="303" spans="1:12">
      <c r="A303" s="615"/>
      <c r="B303" s="615"/>
      <c r="C303" s="615"/>
      <c r="D303" s="615"/>
      <c r="E303" s="615"/>
      <c r="F303" s="615"/>
      <c r="G303" s="615"/>
      <c r="H303" s="615"/>
      <c r="I303" s="615"/>
      <c r="J303" s="615"/>
      <c r="K303" s="615"/>
      <c r="L303" s="615"/>
    </row>
    <row r="304" spans="1:12">
      <c r="A304" s="615"/>
      <c r="B304" s="615"/>
      <c r="C304" s="615"/>
      <c r="D304" s="615"/>
      <c r="E304" s="615"/>
      <c r="F304" s="615"/>
      <c r="G304" s="615"/>
      <c r="H304" s="615"/>
      <c r="I304" s="615"/>
      <c r="J304" s="615"/>
      <c r="K304" s="615"/>
      <c r="L304" s="615"/>
    </row>
    <row r="305" spans="1:12">
      <c r="A305" s="615"/>
      <c r="B305" s="615"/>
      <c r="C305" s="615"/>
      <c r="D305" s="615"/>
      <c r="E305" s="615"/>
      <c r="F305" s="615"/>
      <c r="G305" s="615"/>
      <c r="H305" s="615"/>
      <c r="I305" s="615"/>
      <c r="J305" s="615"/>
      <c r="K305" s="615"/>
      <c r="L305" s="615"/>
    </row>
    <row r="306" spans="1:12">
      <c r="A306" s="615"/>
      <c r="B306" s="615"/>
      <c r="C306" s="615"/>
      <c r="D306" s="615"/>
      <c r="E306" s="615"/>
      <c r="F306" s="615"/>
      <c r="G306" s="615"/>
      <c r="H306" s="615"/>
      <c r="I306" s="615"/>
      <c r="J306" s="615"/>
      <c r="K306" s="615"/>
      <c r="L306" s="615"/>
    </row>
    <row r="307" spans="1:12">
      <c r="A307" s="615"/>
      <c r="B307" s="615"/>
      <c r="C307" s="615"/>
      <c r="D307" s="615"/>
      <c r="E307" s="615"/>
      <c r="F307" s="615"/>
      <c r="G307" s="615"/>
      <c r="H307" s="615"/>
      <c r="I307" s="615"/>
      <c r="J307" s="615"/>
      <c r="K307" s="615"/>
      <c r="L307" s="615"/>
    </row>
    <row r="308" spans="1:12">
      <c r="A308" s="615"/>
      <c r="B308" s="615"/>
      <c r="C308" s="615"/>
      <c r="D308" s="615"/>
      <c r="E308" s="615"/>
      <c r="F308" s="615"/>
      <c r="G308" s="615"/>
      <c r="H308" s="615"/>
      <c r="I308" s="615"/>
      <c r="J308" s="615"/>
      <c r="K308" s="615"/>
      <c r="L308" s="615"/>
    </row>
    <row r="309" spans="1:12">
      <c r="A309" s="615"/>
      <c r="B309" s="615"/>
      <c r="C309" s="615"/>
      <c r="D309" s="615"/>
      <c r="E309" s="615"/>
      <c r="F309" s="615"/>
      <c r="G309" s="615"/>
      <c r="H309" s="615"/>
      <c r="I309" s="615"/>
      <c r="J309" s="615"/>
      <c r="K309" s="615"/>
      <c r="L309" s="615"/>
    </row>
    <row r="310" spans="1:12">
      <c r="A310" s="615"/>
      <c r="B310" s="615"/>
      <c r="C310" s="615"/>
      <c r="D310" s="615"/>
      <c r="E310" s="615"/>
      <c r="F310" s="615"/>
      <c r="G310" s="615"/>
      <c r="H310" s="615"/>
      <c r="I310" s="615"/>
      <c r="J310" s="615"/>
      <c r="K310" s="615"/>
      <c r="L310" s="615"/>
    </row>
    <row r="311" spans="1:12">
      <c r="A311" s="615"/>
      <c r="B311" s="615"/>
      <c r="C311" s="615"/>
      <c r="D311" s="615"/>
      <c r="E311" s="615"/>
      <c r="F311" s="615"/>
      <c r="G311" s="615"/>
      <c r="H311" s="615"/>
      <c r="I311" s="615"/>
      <c r="J311" s="615"/>
      <c r="K311" s="615"/>
      <c r="L311" s="615"/>
    </row>
    <row r="312" spans="1:12">
      <c r="A312" s="615"/>
      <c r="B312" s="615"/>
      <c r="C312" s="615"/>
      <c r="D312" s="615"/>
      <c r="E312" s="615"/>
      <c r="F312" s="615"/>
      <c r="G312" s="615"/>
      <c r="H312" s="615"/>
      <c r="I312" s="615"/>
      <c r="J312" s="615"/>
      <c r="K312" s="615"/>
      <c r="L312" s="615"/>
    </row>
    <row r="313" spans="1:12">
      <c r="A313" s="615"/>
      <c r="B313" s="615"/>
      <c r="C313" s="615"/>
      <c r="D313" s="615"/>
      <c r="E313" s="615"/>
      <c r="F313" s="615"/>
      <c r="G313" s="615"/>
      <c r="H313" s="615"/>
      <c r="I313" s="615"/>
      <c r="J313" s="615"/>
      <c r="K313" s="615"/>
      <c r="L313" s="615"/>
    </row>
    <row r="314" spans="1:12">
      <c r="A314" s="615"/>
      <c r="B314" s="615"/>
      <c r="C314" s="615"/>
      <c r="D314" s="615"/>
      <c r="E314" s="615"/>
      <c r="F314" s="615"/>
      <c r="G314" s="615"/>
      <c r="H314" s="615"/>
      <c r="I314" s="615"/>
      <c r="J314" s="615"/>
      <c r="K314" s="615"/>
      <c r="L314" s="615"/>
    </row>
    <row r="315" spans="1:12">
      <c r="A315" s="615"/>
      <c r="B315" s="615"/>
      <c r="C315" s="615"/>
      <c r="D315" s="615"/>
      <c r="E315" s="615"/>
      <c r="F315" s="615"/>
      <c r="G315" s="615"/>
      <c r="H315" s="615"/>
      <c r="I315" s="615"/>
      <c r="J315" s="615"/>
      <c r="K315" s="615"/>
      <c r="L315" s="615"/>
    </row>
    <row r="316" spans="1:12">
      <c r="A316" s="615"/>
      <c r="B316" s="615"/>
      <c r="C316" s="615"/>
      <c r="D316" s="615"/>
      <c r="E316" s="615"/>
      <c r="F316" s="615"/>
      <c r="G316" s="615"/>
      <c r="H316" s="615"/>
      <c r="I316" s="615"/>
      <c r="J316" s="615"/>
      <c r="K316" s="615"/>
      <c r="L316" s="615"/>
    </row>
    <row r="317" spans="1:12">
      <c r="A317" s="615"/>
      <c r="B317" s="615"/>
      <c r="C317" s="615"/>
      <c r="D317" s="615"/>
      <c r="E317" s="615"/>
      <c r="F317" s="615"/>
      <c r="G317" s="615"/>
      <c r="H317" s="615"/>
      <c r="I317" s="615"/>
      <c r="J317" s="615"/>
      <c r="K317" s="615"/>
      <c r="L317" s="615"/>
    </row>
    <row r="318" spans="1:12">
      <c r="A318" s="615"/>
      <c r="B318" s="615"/>
      <c r="C318" s="615"/>
      <c r="D318" s="615"/>
      <c r="E318" s="615"/>
      <c r="F318" s="615"/>
      <c r="G318" s="615"/>
      <c r="H318" s="615"/>
      <c r="I318" s="615"/>
      <c r="J318" s="615"/>
      <c r="K318" s="615"/>
      <c r="L318" s="615"/>
    </row>
    <row r="319" spans="1:12">
      <c r="A319" s="615"/>
      <c r="B319" s="615"/>
      <c r="C319" s="615"/>
      <c r="D319" s="615"/>
      <c r="E319" s="615"/>
      <c r="F319" s="615"/>
      <c r="G319" s="615"/>
      <c r="H319" s="615"/>
      <c r="I319" s="615"/>
      <c r="J319" s="615"/>
      <c r="K319" s="615"/>
      <c r="L319" s="615"/>
    </row>
    <row r="320" spans="1:12">
      <c r="A320" s="615"/>
      <c r="B320" s="615"/>
      <c r="C320" s="615"/>
      <c r="D320" s="615"/>
      <c r="E320" s="615"/>
      <c r="F320" s="615"/>
      <c r="G320" s="615"/>
      <c r="H320" s="615"/>
      <c r="I320" s="615"/>
      <c r="J320" s="615"/>
      <c r="K320" s="615"/>
      <c r="L320" s="615"/>
    </row>
    <row r="321" spans="1:12">
      <c r="A321" s="615"/>
      <c r="B321" s="615"/>
      <c r="C321" s="615"/>
      <c r="D321" s="615"/>
      <c r="E321" s="615"/>
      <c r="F321" s="615"/>
      <c r="G321" s="615"/>
      <c r="H321" s="615"/>
      <c r="I321" s="615"/>
      <c r="J321" s="615"/>
      <c r="K321" s="615"/>
      <c r="L321" s="615"/>
    </row>
    <row r="322" spans="1:12">
      <c r="A322" s="615"/>
      <c r="B322" s="615"/>
      <c r="C322" s="615"/>
      <c r="D322" s="615"/>
      <c r="E322" s="615"/>
      <c r="F322" s="615"/>
      <c r="G322" s="615"/>
      <c r="H322" s="615"/>
      <c r="I322" s="615"/>
      <c r="J322" s="615"/>
      <c r="K322" s="615"/>
      <c r="L322" s="615"/>
    </row>
    <row r="323" spans="1:12">
      <c r="A323" s="615"/>
      <c r="B323" s="615"/>
      <c r="C323" s="615"/>
      <c r="D323" s="615"/>
      <c r="E323" s="615"/>
      <c r="F323" s="615"/>
      <c r="G323" s="615"/>
      <c r="H323" s="615"/>
      <c r="I323" s="615"/>
      <c r="J323" s="615"/>
      <c r="K323" s="615"/>
      <c r="L323" s="615"/>
    </row>
    <row r="324" spans="1:12">
      <c r="A324" s="615"/>
      <c r="B324" s="615"/>
      <c r="C324" s="615"/>
      <c r="D324" s="615"/>
      <c r="E324" s="615"/>
      <c r="F324" s="615"/>
      <c r="G324" s="615"/>
      <c r="H324" s="615"/>
      <c r="I324" s="615"/>
      <c r="J324" s="615"/>
      <c r="K324" s="615"/>
      <c r="L324" s="615"/>
    </row>
    <row r="325" spans="1:12">
      <c r="A325" s="615"/>
      <c r="B325" s="615"/>
      <c r="C325" s="615"/>
      <c r="D325" s="615"/>
      <c r="E325" s="615"/>
      <c r="F325" s="615"/>
      <c r="G325" s="615"/>
      <c r="H325" s="615"/>
      <c r="I325" s="615"/>
      <c r="J325" s="615"/>
      <c r="K325" s="615"/>
      <c r="L325" s="615"/>
    </row>
    <row r="326" spans="1:12">
      <c r="A326" s="615"/>
      <c r="B326" s="615"/>
      <c r="C326" s="615"/>
      <c r="D326" s="615"/>
      <c r="E326" s="615"/>
      <c r="F326" s="615"/>
      <c r="G326" s="615"/>
      <c r="H326" s="615"/>
      <c r="I326" s="615"/>
      <c r="J326" s="615"/>
      <c r="K326" s="615"/>
      <c r="L326" s="615"/>
    </row>
    <row r="327" spans="1:12">
      <c r="A327" s="615"/>
      <c r="B327" s="615"/>
      <c r="C327" s="615"/>
      <c r="D327" s="615"/>
      <c r="E327" s="615"/>
      <c r="F327" s="615"/>
      <c r="G327" s="615"/>
      <c r="H327" s="615"/>
      <c r="I327" s="615"/>
      <c r="J327" s="615"/>
      <c r="K327" s="615"/>
      <c r="L327" s="615"/>
    </row>
    <row r="328" spans="1:12">
      <c r="A328" s="615"/>
      <c r="B328" s="615"/>
      <c r="C328" s="615"/>
      <c r="D328" s="615"/>
      <c r="E328" s="615"/>
      <c r="F328" s="615"/>
      <c r="G328" s="615"/>
      <c r="H328" s="615"/>
      <c r="I328" s="615"/>
      <c r="J328" s="615"/>
      <c r="K328" s="615"/>
      <c r="L328" s="615"/>
    </row>
    <row r="329" spans="1:12">
      <c r="A329" s="615"/>
      <c r="B329" s="615"/>
      <c r="C329" s="615"/>
      <c r="D329" s="615"/>
      <c r="E329" s="615"/>
      <c r="F329" s="615"/>
      <c r="G329" s="615"/>
      <c r="H329" s="615"/>
      <c r="I329" s="615"/>
      <c r="J329" s="615"/>
      <c r="K329" s="615"/>
      <c r="L329" s="615"/>
    </row>
    <row r="330" spans="1:12">
      <c r="A330" s="615"/>
      <c r="B330" s="615"/>
      <c r="C330" s="615"/>
      <c r="D330" s="615"/>
      <c r="E330" s="615"/>
      <c r="F330" s="615"/>
      <c r="G330" s="615"/>
      <c r="H330" s="615"/>
      <c r="I330" s="615"/>
      <c r="J330" s="615"/>
      <c r="K330" s="615"/>
      <c r="L330" s="615"/>
    </row>
    <row r="331" spans="1:12">
      <c r="A331" s="615"/>
      <c r="B331" s="615"/>
      <c r="C331" s="615"/>
      <c r="D331" s="615"/>
      <c r="E331" s="615"/>
      <c r="F331" s="615"/>
      <c r="G331" s="615"/>
      <c r="H331" s="615"/>
      <c r="I331" s="615"/>
      <c r="J331" s="615"/>
      <c r="K331" s="615"/>
      <c r="L331" s="615"/>
    </row>
    <row r="332" spans="1:12">
      <c r="A332" s="615"/>
      <c r="B332" s="615"/>
      <c r="C332" s="615"/>
      <c r="D332" s="615"/>
      <c r="E332" s="615"/>
      <c r="F332" s="615"/>
      <c r="G332" s="615"/>
      <c r="H332" s="615"/>
      <c r="I332" s="615"/>
      <c r="J332" s="615"/>
      <c r="K332" s="615"/>
      <c r="L332" s="615"/>
    </row>
    <row r="333" spans="1:12">
      <c r="A333" s="615"/>
      <c r="B333" s="615"/>
      <c r="C333" s="615"/>
      <c r="D333" s="615"/>
      <c r="E333" s="615"/>
      <c r="F333" s="615"/>
      <c r="G333" s="615"/>
      <c r="H333" s="615"/>
      <c r="I333" s="615"/>
      <c r="J333" s="615"/>
      <c r="K333" s="615"/>
      <c r="L333" s="615"/>
    </row>
    <row r="334" spans="1:12">
      <c r="A334" s="615"/>
      <c r="B334" s="615"/>
      <c r="C334" s="615"/>
      <c r="D334" s="615"/>
      <c r="E334" s="615"/>
      <c r="F334" s="615"/>
      <c r="G334" s="615"/>
      <c r="H334" s="615"/>
      <c r="I334" s="615"/>
      <c r="J334" s="615"/>
      <c r="K334" s="615"/>
      <c r="L334" s="615"/>
    </row>
    <row r="335" spans="1:12">
      <c r="A335" s="615"/>
      <c r="B335" s="615"/>
      <c r="C335" s="615"/>
      <c r="D335" s="615"/>
      <c r="E335" s="615"/>
      <c r="F335" s="615"/>
      <c r="G335" s="615"/>
      <c r="H335" s="615"/>
      <c r="I335" s="615"/>
      <c r="J335" s="615"/>
      <c r="K335" s="615"/>
      <c r="L335" s="615"/>
    </row>
    <row r="336" spans="1:12">
      <c r="A336" s="615"/>
      <c r="B336" s="615"/>
      <c r="C336" s="615"/>
      <c r="D336" s="615"/>
      <c r="E336" s="615"/>
      <c r="F336" s="615"/>
      <c r="G336" s="615"/>
      <c r="H336" s="615"/>
      <c r="I336" s="615"/>
      <c r="J336" s="615"/>
      <c r="K336" s="615"/>
      <c r="L336" s="615"/>
    </row>
    <row r="337" spans="1:12">
      <c r="A337" s="615"/>
      <c r="B337" s="615"/>
      <c r="C337" s="615"/>
      <c r="D337" s="615"/>
      <c r="E337" s="615"/>
      <c r="F337" s="615"/>
      <c r="G337" s="615"/>
      <c r="H337" s="615"/>
      <c r="I337" s="615"/>
      <c r="J337" s="615"/>
      <c r="K337" s="615"/>
      <c r="L337" s="615"/>
    </row>
    <row r="338" spans="1:12">
      <c r="A338" s="615"/>
      <c r="B338" s="615"/>
      <c r="C338" s="615"/>
      <c r="D338" s="615"/>
      <c r="E338" s="615"/>
      <c r="F338" s="615"/>
      <c r="G338" s="615"/>
      <c r="H338" s="615"/>
      <c r="I338" s="615"/>
      <c r="J338" s="615"/>
      <c r="K338" s="615"/>
      <c r="L338" s="615"/>
    </row>
    <row r="339" spans="1:12">
      <c r="A339" s="615"/>
      <c r="B339" s="615"/>
      <c r="C339" s="615"/>
      <c r="D339" s="615"/>
      <c r="E339" s="615"/>
      <c r="F339" s="615"/>
      <c r="G339" s="615"/>
      <c r="H339" s="615"/>
      <c r="I339" s="615"/>
      <c r="J339" s="615"/>
      <c r="K339" s="615"/>
      <c r="L339" s="615"/>
    </row>
    <row r="340" spans="1:12">
      <c r="A340" s="615"/>
      <c r="B340" s="615"/>
      <c r="C340" s="615"/>
      <c r="D340" s="615"/>
      <c r="E340" s="615"/>
      <c r="F340" s="615"/>
      <c r="G340" s="615"/>
      <c r="H340" s="615"/>
      <c r="I340" s="615"/>
      <c r="J340" s="615"/>
      <c r="K340" s="615"/>
      <c r="L340" s="615"/>
    </row>
    <row r="341" spans="1:12">
      <c r="A341" s="615"/>
      <c r="B341" s="615"/>
      <c r="C341" s="615"/>
      <c r="D341" s="615"/>
      <c r="E341" s="615"/>
      <c r="F341" s="615"/>
      <c r="G341" s="615"/>
      <c r="H341" s="615"/>
      <c r="I341" s="615"/>
      <c r="J341" s="615"/>
      <c r="K341" s="615"/>
      <c r="L341" s="615"/>
    </row>
    <row r="342" spans="1:12">
      <c r="A342" s="615"/>
      <c r="B342" s="615"/>
      <c r="C342" s="615"/>
      <c r="D342" s="615"/>
      <c r="E342" s="615"/>
      <c r="F342" s="615"/>
      <c r="G342" s="615"/>
      <c r="H342" s="615"/>
      <c r="I342" s="615"/>
      <c r="J342" s="615"/>
      <c r="K342" s="615"/>
      <c r="L342" s="615"/>
    </row>
    <row r="343" spans="1:12">
      <c r="A343" s="615"/>
      <c r="B343" s="615"/>
      <c r="C343" s="615"/>
      <c r="D343" s="615"/>
      <c r="E343" s="615"/>
      <c r="F343" s="615"/>
      <c r="G343" s="615"/>
      <c r="H343" s="615"/>
      <c r="I343" s="615"/>
      <c r="J343" s="615"/>
      <c r="K343" s="615"/>
      <c r="L343" s="615"/>
    </row>
    <row r="344" spans="1:12">
      <c r="A344" s="615"/>
      <c r="B344" s="615"/>
      <c r="C344" s="615"/>
      <c r="D344" s="615"/>
      <c r="E344" s="615"/>
      <c r="F344" s="615"/>
      <c r="G344" s="615"/>
      <c r="H344" s="615"/>
      <c r="I344" s="615"/>
      <c r="J344" s="615"/>
      <c r="K344" s="615"/>
      <c r="L344" s="615"/>
    </row>
    <row r="345" spans="1:12">
      <c r="A345" s="615"/>
      <c r="B345" s="615"/>
      <c r="C345" s="615"/>
      <c r="D345" s="615"/>
      <c r="E345" s="615"/>
      <c r="F345" s="615"/>
      <c r="G345" s="615"/>
      <c r="H345" s="615"/>
      <c r="I345" s="615"/>
      <c r="J345" s="615"/>
      <c r="K345" s="615"/>
      <c r="L345" s="615"/>
    </row>
    <row r="346" spans="1:12">
      <c r="A346" s="615"/>
      <c r="B346" s="615"/>
      <c r="C346" s="615"/>
      <c r="D346" s="615"/>
      <c r="E346" s="615"/>
      <c r="F346" s="615"/>
      <c r="G346" s="615"/>
      <c r="H346" s="615"/>
      <c r="I346" s="615"/>
      <c r="J346" s="615"/>
      <c r="K346" s="615"/>
      <c r="L346" s="615"/>
    </row>
    <row r="347" spans="1:12">
      <c r="A347" s="615"/>
      <c r="B347" s="615"/>
      <c r="C347" s="615"/>
      <c r="D347" s="615"/>
      <c r="E347" s="615"/>
      <c r="F347" s="615"/>
      <c r="G347" s="615"/>
      <c r="H347" s="615"/>
      <c r="I347" s="615"/>
      <c r="J347" s="615"/>
      <c r="K347" s="615"/>
      <c r="L347" s="615"/>
    </row>
    <row r="348" spans="1:12">
      <c r="A348" s="615"/>
      <c r="B348" s="615"/>
      <c r="C348" s="615"/>
      <c r="D348" s="615"/>
      <c r="E348" s="615"/>
      <c r="F348" s="615"/>
      <c r="G348" s="615"/>
      <c r="H348" s="615"/>
      <c r="I348" s="615"/>
      <c r="J348" s="615"/>
      <c r="K348" s="615"/>
      <c r="L348" s="615"/>
    </row>
    <row r="349" spans="1:12">
      <c r="A349" s="615"/>
      <c r="B349" s="615"/>
      <c r="C349" s="615"/>
      <c r="D349" s="615"/>
      <c r="E349" s="615"/>
      <c r="F349" s="615"/>
      <c r="G349" s="615"/>
      <c r="H349" s="615"/>
      <c r="I349" s="615"/>
      <c r="J349" s="615"/>
      <c r="K349" s="615"/>
      <c r="L349" s="615"/>
    </row>
    <row r="350" spans="1:12">
      <c r="A350" s="615"/>
      <c r="B350" s="615"/>
      <c r="C350" s="615"/>
      <c r="D350" s="615"/>
      <c r="E350" s="615"/>
      <c r="F350" s="615"/>
      <c r="G350" s="615"/>
      <c r="H350" s="615"/>
      <c r="I350" s="615"/>
      <c r="J350" s="615"/>
      <c r="K350" s="615"/>
      <c r="L350" s="615"/>
    </row>
    <row r="351" spans="1:12">
      <c r="A351" s="615"/>
      <c r="B351" s="615"/>
      <c r="C351" s="615"/>
      <c r="D351" s="615"/>
      <c r="E351" s="615"/>
      <c r="F351" s="615"/>
      <c r="G351" s="615"/>
      <c r="H351" s="615"/>
      <c r="I351" s="615"/>
      <c r="J351" s="615"/>
      <c r="K351" s="615"/>
      <c r="L351" s="615"/>
    </row>
    <row r="352" spans="1:12">
      <c r="A352" s="615"/>
      <c r="B352" s="615"/>
      <c r="C352" s="615"/>
      <c r="D352" s="615"/>
      <c r="E352" s="615"/>
      <c r="F352" s="615"/>
      <c r="G352" s="615"/>
      <c r="H352" s="615"/>
      <c r="I352" s="615"/>
      <c r="J352" s="615"/>
      <c r="K352" s="615"/>
      <c r="L352" s="615"/>
    </row>
    <row r="353" spans="1:12">
      <c r="A353" s="615"/>
      <c r="B353" s="615"/>
      <c r="C353" s="615"/>
      <c r="D353" s="615"/>
      <c r="E353" s="615"/>
      <c r="F353" s="615"/>
      <c r="G353" s="615"/>
      <c r="H353" s="615"/>
      <c r="I353" s="615"/>
      <c r="J353" s="615"/>
      <c r="K353" s="615"/>
      <c r="L353" s="615"/>
    </row>
    <row r="354" spans="1:12">
      <c r="A354" s="615"/>
      <c r="B354" s="615"/>
      <c r="C354" s="615"/>
      <c r="D354" s="615"/>
      <c r="E354" s="615"/>
      <c r="F354" s="615"/>
      <c r="G354" s="615"/>
      <c r="H354" s="615"/>
      <c r="I354" s="615"/>
      <c r="J354" s="615"/>
      <c r="K354" s="615"/>
      <c r="L354" s="615"/>
    </row>
  </sheetData>
  <sheetProtection sheet="1" objects="1" scenarios="1"/>
  <mergeCells count="55">
    <mergeCell ref="B110:K110"/>
    <mergeCell ref="C120:D120"/>
    <mergeCell ref="C123:D123"/>
    <mergeCell ref="B130:K130"/>
    <mergeCell ref="C133:D133"/>
    <mergeCell ref="H133:I133"/>
    <mergeCell ref="C114:D114"/>
    <mergeCell ref="B48:C48"/>
    <mergeCell ref="G50:H50"/>
    <mergeCell ref="I51:K51"/>
    <mergeCell ref="B6:K6"/>
    <mergeCell ref="B7:K7"/>
    <mergeCell ref="B8:K8"/>
    <mergeCell ref="B10:K10"/>
    <mergeCell ref="B12:K12"/>
    <mergeCell ref="C25:D25"/>
    <mergeCell ref="F23:G23"/>
    <mergeCell ref="B30:K30"/>
    <mergeCell ref="B31:K31"/>
    <mergeCell ref="B33:K33"/>
    <mergeCell ref="B35:K35"/>
    <mergeCell ref="C41:D41"/>
    <mergeCell ref="C80:D80"/>
    <mergeCell ref="B55:K55"/>
    <mergeCell ref="B57:K57"/>
    <mergeCell ref="B86:K86"/>
    <mergeCell ref="B88:K88"/>
    <mergeCell ref="C83:D83"/>
    <mergeCell ref="B85:K85"/>
    <mergeCell ref="B52:K52"/>
    <mergeCell ref="B53:K53"/>
    <mergeCell ref="B58:K58"/>
    <mergeCell ref="C74:D74"/>
    <mergeCell ref="C77:D77"/>
    <mergeCell ref="B90:K90"/>
    <mergeCell ref="C94:D94"/>
    <mergeCell ref="C97:D97"/>
    <mergeCell ref="C100:D100"/>
    <mergeCell ref="B105:K105"/>
    <mergeCell ref="C148:D148"/>
    <mergeCell ref="J148:K148"/>
    <mergeCell ref="C103:D103"/>
    <mergeCell ref="H134:I134"/>
    <mergeCell ref="C136:D136"/>
    <mergeCell ref="C137:D137"/>
    <mergeCell ref="B144:K144"/>
    <mergeCell ref="C147:D147"/>
    <mergeCell ref="J147:K147"/>
    <mergeCell ref="B108:K108"/>
    <mergeCell ref="B126:K126"/>
    <mergeCell ref="B128:K128"/>
    <mergeCell ref="B106:K106"/>
    <mergeCell ref="C117:D117"/>
    <mergeCell ref="B125:K125"/>
    <mergeCell ref="C134:D134"/>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dimension ref="A1:A40"/>
  <sheetViews>
    <sheetView workbookViewId="0">
      <selection activeCell="A5" sqref="A5"/>
    </sheetView>
  </sheetViews>
  <sheetFormatPr defaultRowHeight="15"/>
  <cols>
    <col min="1" max="1" width="71.21875" customWidth="1"/>
  </cols>
  <sheetData>
    <row r="1" spans="1:1" ht="16.5">
      <c r="A1" s="543" t="s">
        <v>716</v>
      </c>
    </row>
    <row r="3" spans="1:1" ht="31.5">
      <c r="A3" s="544" t="s">
        <v>717</v>
      </c>
    </row>
    <row r="4" spans="1:1" ht="15.75">
      <c r="A4" s="545" t="s">
        <v>718</v>
      </c>
    </row>
    <row r="7" spans="1:1" ht="31.5">
      <c r="A7" s="544" t="s">
        <v>719</v>
      </c>
    </row>
    <row r="8" spans="1:1" ht="15.75">
      <c r="A8" s="545" t="s">
        <v>720</v>
      </c>
    </row>
    <row r="11" spans="1:1" ht="15.75">
      <c r="A11" s="542" t="s">
        <v>721</v>
      </c>
    </row>
    <row r="12" spans="1:1" ht="15.75">
      <c r="A12" s="545" t="s">
        <v>722</v>
      </c>
    </row>
    <row r="15" spans="1:1" ht="15.75">
      <c r="A15" s="542" t="s">
        <v>723</v>
      </c>
    </row>
    <row r="16" spans="1:1" ht="15.75">
      <c r="A16" s="545" t="s">
        <v>724</v>
      </c>
    </row>
    <row r="19" spans="1:1" ht="15.75">
      <c r="A19" s="542" t="s">
        <v>725</v>
      </c>
    </row>
    <row r="20" spans="1:1" ht="15.75">
      <c r="A20" s="545" t="s">
        <v>726</v>
      </c>
    </row>
    <row r="23" spans="1:1" ht="15.75">
      <c r="A23" s="542" t="s">
        <v>727</v>
      </c>
    </row>
    <row r="24" spans="1:1" ht="15.75">
      <c r="A24" s="545" t="s">
        <v>728</v>
      </c>
    </row>
    <row r="27" spans="1:1" ht="15.75">
      <c r="A27" s="542" t="s">
        <v>729</v>
      </c>
    </row>
    <row r="28" spans="1:1" ht="15.75">
      <c r="A28" s="545" t="s">
        <v>730</v>
      </c>
    </row>
    <row r="31" spans="1:1" ht="15.75">
      <c r="A31" s="542" t="s">
        <v>731</v>
      </c>
    </row>
    <row r="32" spans="1:1" ht="15.75">
      <c r="A32" s="545" t="s">
        <v>732</v>
      </c>
    </row>
    <row r="35" spans="1:1" ht="15.75">
      <c r="A35" s="542" t="s">
        <v>733</v>
      </c>
    </row>
    <row r="36" spans="1:1" ht="15.75">
      <c r="A36" s="545" t="s">
        <v>734</v>
      </c>
    </row>
    <row r="39" spans="1:1" ht="15.75">
      <c r="A39" s="542" t="s">
        <v>735</v>
      </c>
    </row>
    <row r="40" spans="1:1" ht="15.75">
      <c r="A40" s="545" t="s">
        <v>736</v>
      </c>
    </row>
  </sheetData>
  <sheetProtection sheet="1" objects="1" scenarios="1"/>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pageSetup orientation="portrait" r:id="rId11"/>
</worksheet>
</file>

<file path=xl/worksheets/sheet53.xml><?xml version="1.0" encoding="utf-8"?>
<worksheet xmlns="http://schemas.openxmlformats.org/spreadsheetml/2006/main" xmlns:r="http://schemas.openxmlformats.org/officeDocument/2006/relationships">
  <sheetPr codeName="Sheet35"/>
  <dimension ref="A1:A165"/>
  <sheetViews>
    <sheetView workbookViewId="0">
      <selection activeCell="D23" sqref="D23"/>
    </sheetView>
  </sheetViews>
  <sheetFormatPr defaultRowHeight="15.75"/>
  <cols>
    <col min="1" max="1" width="80.109375" style="71" customWidth="1"/>
    <col min="2" max="16384" width="8.88671875" style="71"/>
  </cols>
  <sheetData>
    <row r="1" spans="1:1">
      <c r="A1" s="429" t="s">
        <v>866</v>
      </c>
    </row>
    <row r="2" spans="1:1">
      <c r="A2" s="718" t="s">
        <v>862</v>
      </c>
    </row>
    <row r="3" spans="1:1">
      <c r="A3" s="71" t="s">
        <v>863</v>
      </c>
    </row>
    <row r="4" spans="1:1">
      <c r="A4" s="71" t="s">
        <v>864</v>
      </c>
    </row>
    <row r="5" spans="1:1">
      <c r="A5" s="71" t="s">
        <v>865</v>
      </c>
    </row>
    <row r="6" spans="1:1">
      <c r="A6" s="71" t="s">
        <v>867</v>
      </c>
    </row>
    <row r="7" spans="1:1">
      <c r="A7" s="71" t="s">
        <v>868</v>
      </c>
    </row>
    <row r="8" spans="1:1">
      <c r="A8" s="71" t="s">
        <v>869</v>
      </c>
    </row>
    <row r="9" spans="1:1">
      <c r="A9" s="71" t="s">
        <v>870</v>
      </c>
    </row>
    <row r="10" spans="1:1">
      <c r="A10" s="71" t="s">
        <v>871</v>
      </c>
    </row>
    <row r="11" spans="1:1">
      <c r="A11" s="71" t="s">
        <v>872</v>
      </c>
    </row>
    <row r="12" spans="1:1">
      <c r="A12" s="71" t="s">
        <v>873</v>
      </c>
    </row>
    <row r="13" spans="1:1">
      <c r="A13" s="71" t="s">
        <v>874</v>
      </c>
    </row>
    <row r="14" spans="1:1" ht="47.25">
      <c r="A14" s="74" t="s">
        <v>875</v>
      </c>
    </row>
    <row r="15" spans="1:1" ht="31.5">
      <c r="A15" s="74" t="s">
        <v>876</v>
      </c>
    </row>
    <row r="16" spans="1:1">
      <c r="A16" s="71" t="s">
        <v>877</v>
      </c>
    </row>
    <row r="17" spans="1:1">
      <c r="A17" s="71" t="s">
        <v>878</v>
      </c>
    </row>
    <row r="18" spans="1:1">
      <c r="A18" s="71" t="s">
        <v>879</v>
      </c>
    </row>
    <row r="19" spans="1:1">
      <c r="A19" s="71" t="s">
        <v>880</v>
      </c>
    </row>
    <row r="20" spans="1:1">
      <c r="A20" s="71" t="s">
        <v>881</v>
      </c>
    </row>
    <row r="21" spans="1:1">
      <c r="A21" s="71" t="s">
        <v>882</v>
      </c>
    </row>
    <row r="22" spans="1:1">
      <c r="A22" s="71" t="s">
        <v>883</v>
      </c>
    </row>
    <row r="23" spans="1:1">
      <c r="A23" s="71" t="s">
        <v>884</v>
      </c>
    </row>
    <row r="24" spans="1:1">
      <c r="A24" s="71" t="s">
        <v>885</v>
      </c>
    </row>
    <row r="25" spans="1:1">
      <c r="A25" s="71" t="s">
        <v>886</v>
      </c>
    </row>
    <row r="26" spans="1:1">
      <c r="A26" s="71" t="s">
        <v>887</v>
      </c>
    </row>
    <row r="27" spans="1:1">
      <c r="A27" s="71" t="s">
        <v>888</v>
      </c>
    </row>
    <row r="32" spans="1:1">
      <c r="A32" s="429" t="s">
        <v>808</v>
      </c>
    </row>
    <row r="33" spans="1:1">
      <c r="A33" s="541" t="s">
        <v>809</v>
      </c>
    </row>
    <row r="35" spans="1:1">
      <c r="A35" s="429" t="s">
        <v>693</v>
      </c>
    </row>
    <row r="36" spans="1:1">
      <c r="A36" s="541" t="s">
        <v>694</v>
      </c>
    </row>
    <row r="37" spans="1:1">
      <c r="A37" s="541" t="s">
        <v>695</v>
      </c>
    </row>
    <row r="38" spans="1:1">
      <c r="A38" s="540" t="s">
        <v>696</v>
      </c>
    </row>
    <row r="39" spans="1:1">
      <c r="A39" s="541" t="s">
        <v>697</v>
      </c>
    </row>
    <row r="40" spans="1:1">
      <c r="A40" s="541" t="s">
        <v>698</v>
      </c>
    </row>
    <row r="41" spans="1:1">
      <c r="A41" s="541" t="s">
        <v>699</v>
      </c>
    </row>
    <row r="42" spans="1:1">
      <c r="A42" s="541" t="s">
        <v>700</v>
      </c>
    </row>
    <row r="43" spans="1:1">
      <c r="A43" s="541" t="s">
        <v>701</v>
      </c>
    </row>
    <row r="44" spans="1:1">
      <c r="A44" s="541" t="s">
        <v>702</v>
      </c>
    </row>
    <row r="45" spans="1:1">
      <c r="A45" s="541" t="s">
        <v>703</v>
      </c>
    </row>
    <row r="46" spans="1:1">
      <c r="A46" s="541" t="s">
        <v>704</v>
      </c>
    </row>
    <row r="47" spans="1:1">
      <c r="A47" s="541" t="s">
        <v>705</v>
      </c>
    </row>
    <row r="48" spans="1:1">
      <c r="A48" s="541" t="s">
        <v>706</v>
      </c>
    </row>
    <row r="49" spans="1:1">
      <c r="A49" s="541" t="s">
        <v>707</v>
      </c>
    </row>
    <row r="50" spans="1:1">
      <c r="A50" s="541" t="s">
        <v>708</v>
      </c>
    </row>
    <row r="51" spans="1:1">
      <c r="A51" s="541" t="s">
        <v>709</v>
      </c>
    </row>
    <row r="52" spans="1:1">
      <c r="A52" s="541" t="s">
        <v>710</v>
      </c>
    </row>
    <row r="53" spans="1:1">
      <c r="A53" s="541" t="s">
        <v>711</v>
      </c>
    </row>
    <row r="54" spans="1:1">
      <c r="A54" s="541" t="s">
        <v>712</v>
      </c>
    </row>
    <row r="55" spans="1:1">
      <c r="A55" s="541" t="s">
        <v>713</v>
      </c>
    </row>
    <row r="56" spans="1:1">
      <c r="A56" s="540" t="s">
        <v>714</v>
      </c>
    </row>
    <row r="57" spans="1:1">
      <c r="A57" s="71" t="s">
        <v>715</v>
      </c>
    </row>
    <row r="63" spans="1:1">
      <c r="A63" s="429" t="s">
        <v>671</v>
      </c>
    </row>
    <row r="64" spans="1:1">
      <c r="A64" s="71" t="s">
        <v>672</v>
      </c>
    </row>
    <row r="66" spans="1:1">
      <c r="A66" s="429" t="s">
        <v>665</v>
      </c>
    </row>
    <row r="67" spans="1:1">
      <c r="A67" s="71" t="s">
        <v>666</v>
      </c>
    </row>
    <row r="68" spans="1:1">
      <c r="A68" s="71" t="s">
        <v>667</v>
      </c>
    </row>
    <row r="69" spans="1:1">
      <c r="A69" s="71" t="s">
        <v>668</v>
      </c>
    </row>
    <row r="71" spans="1:1">
      <c r="A71" s="442" t="s">
        <v>654</v>
      </c>
    </row>
    <row r="72" spans="1:1">
      <c r="A72" s="71" t="s">
        <v>664</v>
      </c>
    </row>
    <row r="74" spans="1:1">
      <c r="A74" s="429" t="s">
        <v>420</v>
      </c>
    </row>
    <row r="75" spans="1:1">
      <c r="A75" s="430" t="s">
        <v>421</v>
      </c>
    </row>
    <row r="76" spans="1:1">
      <c r="A76" s="430" t="s">
        <v>422</v>
      </c>
    </row>
    <row r="77" spans="1:1">
      <c r="A77" s="430" t="s">
        <v>423</v>
      </c>
    </row>
    <row r="78" spans="1:1">
      <c r="A78" s="71" t="s">
        <v>424</v>
      </c>
    </row>
    <row r="80" spans="1:1">
      <c r="A80" s="408" t="s">
        <v>354</v>
      </c>
    </row>
    <row r="81" spans="1:1">
      <c r="A81" s="71" t="s">
        <v>355</v>
      </c>
    </row>
    <row r="82" spans="1:1">
      <c r="A82" s="71" t="s">
        <v>356</v>
      </c>
    </row>
    <row r="83" spans="1:1">
      <c r="A83" s="71" t="s">
        <v>357</v>
      </c>
    </row>
    <row r="84" spans="1:1">
      <c r="A84" s="71" t="s">
        <v>389</v>
      </c>
    </row>
    <row r="85" spans="1:1">
      <c r="A85" s="71" t="s">
        <v>388</v>
      </c>
    </row>
    <row r="86" spans="1:1">
      <c r="A86" s="71" t="s">
        <v>390</v>
      </c>
    </row>
    <row r="87" spans="1:1">
      <c r="A87" s="71" t="s">
        <v>392</v>
      </c>
    </row>
    <row r="88" spans="1:1" ht="22.5" customHeight="1">
      <c r="A88" s="74" t="s">
        <v>391</v>
      </c>
    </row>
    <row r="89" spans="1:1" ht="22.5" customHeight="1">
      <c r="A89" s="74" t="s">
        <v>406</v>
      </c>
    </row>
    <row r="90" spans="1:1" ht="22.5" customHeight="1">
      <c r="A90" s="418" t="s">
        <v>410</v>
      </c>
    </row>
    <row r="92" spans="1:1">
      <c r="A92" s="408" t="s">
        <v>347</v>
      </c>
    </row>
    <row r="93" spans="1:1">
      <c r="A93" s="71" t="s">
        <v>348</v>
      </c>
    </row>
    <row r="94" spans="1:1">
      <c r="A94" s="71" t="s">
        <v>349</v>
      </c>
    </row>
    <row r="96" spans="1:1">
      <c r="A96" s="408" t="s">
        <v>121</v>
      </c>
    </row>
    <row r="97" spans="1:1">
      <c r="A97" s="71" t="s">
        <v>101</v>
      </c>
    </row>
    <row r="98" spans="1:1">
      <c r="A98" s="71" t="s">
        <v>102</v>
      </c>
    </row>
    <row r="99" spans="1:1">
      <c r="A99" s="71" t="s">
        <v>103</v>
      </c>
    </row>
    <row r="100" spans="1:1">
      <c r="A100" s="71" t="s">
        <v>104</v>
      </c>
    </row>
    <row r="101" spans="1:1">
      <c r="A101" s="71" t="s">
        <v>105</v>
      </c>
    </row>
    <row r="102" spans="1:1">
      <c r="A102" s="71" t="s">
        <v>106</v>
      </c>
    </row>
    <row r="103" spans="1:1" ht="31.5">
      <c r="A103" s="74" t="s">
        <v>107</v>
      </c>
    </row>
    <row r="104" spans="1:1" ht="31.5">
      <c r="A104" s="74" t="s">
        <v>108</v>
      </c>
    </row>
    <row r="105" spans="1:1">
      <c r="A105" s="74" t="s">
        <v>109</v>
      </c>
    </row>
    <row r="106" spans="1:1">
      <c r="A106" s="74" t="s">
        <v>110</v>
      </c>
    </row>
    <row r="107" spans="1:1" ht="31.5">
      <c r="A107" s="74" t="s">
        <v>111</v>
      </c>
    </row>
    <row r="108" spans="1:1">
      <c r="A108" s="71" t="s">
        <v>112</v>
      </c>
    </row>
    <row r="109" spans="1:1" ht="31.5">
      <c r="A109" s="74" t="s">
        <v>113</v>
      </c>
    </row>
    <row r="110" spans="1:1">
      <c r="A110" s="71" t="s">
        <v>114</v>
      </c>
    </row>
    <row r="111" spans="1:1">
      <c r="A111" s="71" t="s">
        <v>115</v>
      </c>
    </row>
    <row r="112" spans="1:1">
      <c r="A112" s="71" t="s">
        <v>116</v>
      </c>
    </row>
    <row r="113" spans="1:1">
      <c r="A113" s="71" t="s">
        <v>117</v>
      </c>
    </row>
    <row r="114" spans="1:1" ht="31.5">
      <c r="A114" s="74" t="s">
        <v>118</v>
      </c>
    </row>
    <row r="115" spans="1:1">
      <c r="A115" s="71" t="s">
        <v>119</v>
      </c>
    </row>
    <row r="118" spans="1:1">
      <c r="A118" s="408" t="s">
        <v>95</v>
      </c>
    </row>
    <row r="119" spans="1:1">
      <c r="A119" s="71" t="s">
        <v>98</v>
      </c>
    </row>
    <row r="120" spans="1:1">
      <c r="A120" s="71" t="s">
        <v>96</v>
      </c>
    </row>
    <row r="121" spans="1:1">
      <c r="A121" s="71" t="s">
        <v>97</v>
      </c>
    </row>
    <row r="122" spans="1:1">
      <c r="A122" s="71" t="s">
        <v>358</v>
      </c>
    </row>
    <row r="124" spans="1:1">
      <c r="A124" s="408" t="s">
        <v>91</v>
      </c>
    </row>
    <row r="125" spans="1:1" ht="31.5">
      <c r="A125" s="74" t="s">
        <v>92</v>
      </c>
    </row>
    <row r="126" spans="1:1">
      <c r="A126" s="71" t="s">
        <v>93</v>
      </c>
    </row>
    <row r="127" spans="1:1">
      <c r="A127" s="71" t="s">
        <v>94</v>
      </c>
    </row>
    <row r="130" spans="1:1">
      <c r="A130" s="408" t="s">
        <v>35</v>
      </c>
    </row>
    <row r="131" spans="1:1" ht="47.25">
      <c r="A131" s="74" t="s">
        <v>359</v>
      </c>
    </row>
    <row r="132" spans="1:1">
      <c r="A132" s="71" t="s">
        <v>36</v>
      </c>
    </row>
    <row r="133" spans="1:1">
      <c r="A133" s="71" t="s">
        <v>42</v>
      </c>
    </row>
    <row r="134" spans="1:1">
      <c r="A134" s="71" t="s">
        <v>360</v>
      </c>
    </row>
    <row r="135" spans="1:1">
      <c r="A135" s="71" t="s">
        <v>37</v>
      </c>
    </row>
    <row r="136" spans="1:1">
      <c r="A136" s="71" t="s">
        <v>38</v>
      </c>
    </row>
    <row r="137" spans="1:1">
      <c r="A137" s="71" t="s">
        <v>43</v>
      </c>
    </row>
    <row r="138" spans="1:1">
      <c r="A138" s="74" t="s">
        <v>59</v>
      </c>
    </row>
    <row r="139" spans="1:1" ht="31.5">
      <c r="A139" s="74" t="s">
        <v>126</v>
      </c>
    </row>
    <row r="140" spans="1:1">
      <c r="A140" s="71" t="s">
        <v>44</v>
      </c>
    </row>
    <row r="141" spans="1:1">
      <c r="A141" s="71" t="s">
        <v>45</v>
      </c>
    </row>
    <row r="142" spans="1:1">
      <c r="A142" s="71" t="s">
        <v>361</v>
      </c>
    </row>
    <row r="143" spans="1:1">
      <c r="A143" s="71" t="s">
        <v>58</v>
      </c>
    </row>
    <row r="144" spans="1:1">
      <c r="A144" s="71" t="s">
        <v>362</v>
      </c>
    </row>
    <row r="145" spans="1:1" ht="31.5">
      <c r="A145" s="74" t="s">
        <v>363</v>
      </c>
    </row>
    <row r="146" spans="1:1">
      <c r="A146" s="71" t="s">
        <v>46</v>
      </c>
    </row>
    <row r="147" spans="1:1">
      <c r="A147" s="71" t="s">
        <v>47</v>
      </c>
    </row>
    <row r="148" spans="1:1" ht="31.5">
      <c r="A148" s="74" t="s">
        <v>48</v>
      </c>
    </row>
    <row r="149" spans="1:1">
      <c r="A149" s="71" t="s">
        <v>364</v>
      </c>
    </row>
    <row r="150" spans="1:1">
      <c r="A150" s="71" t="s">
        <v>50</v>
      </c>
    </row>
    <row r="151" spans="1:1">
      <c r="A151" s="71" t="s">
        <v>49</v>
      </c>
    </row>
    <row r="152" spans="1:1">
      <c r="A152" s="71" t="s">
        <v>55</v>
      </c>
    </row>
    <row r="153" spans="1:1">
      <c r="A153" s="71" t="s">
        <v>61</v>
      </c>
    </row>
    <row r="154" spans="1:1">
      <c r="A154" s="71" t="s">
        <v>62</v>
      </c>
    </row>
    <row r="155" spans="1:1">
      <c r="A155" s="71" t="s">
        <v>65</v>
      </c>
    </row>
    <row r="156" spans="1:1">
      <c r="A156" s="71" t="s">
        <v>365</v>
      </c>
    </row>
    <row r="157" spans="1:1">
      <c r="A157" s="71" t="s">
        <v>123</v>
      </c>
    </row>
    <row r="158" spans="1:1">
      <c r="A158" s="71" t="s">
        <v>366</v>
      </c>
    </row>
    <row r="159" spans="1:1">
      <c r="A159" s="71" t="s">
        <v>67</v>
      </c>
    </row>
    <row r="160" spans="1:1">
      <c r="A160" s="71" t="s">
        <v>69</v>
      </c>
    </row>
    <row r="161" spans="1:1">
      <c r="A161" s="71" t="s">
        <v>70</v>
      </c>
    </row>
    <row r="162" spans="1:1">
      <c r="A162" s="71" t="s">
        <v>124</v>
      </c>
    </row>
    <row r="163" spans="1:1">
      <c r="A163" s="71" t="s">
        <v>125</v>
      </c>
    </row>
    <row r="164" spans="1:1">
      <c r="A164" s="71" t="s">
        <v>90</v>
      </c>
    </row>
    <row r="165" spans="1:1">
      <c r="A165" s="71" t="s">
        <v>88</v>
      </c>
    </row>
  </sheetData>
  <sheetProtection sheet="1"/>
  <phoneticPr fontId="0" type="noConversion"/>
  <pageMargins left="0.75" right="0.75" top="1" bottom="1" header="0.5" footer="0.5"/>
  <pageSetup orientation="portrait" r:id="rId1"/>
  <headerFooter alignWithMargins="0"/>
</worksheet>
</file>

<file path=xl/worksheets/sheet54.xml><?xml version="1.0" encoding="utf-8"?>
<worksheet xmlns="http://schemas.openxmlformats.org/spreadsheetml/2006/main" xmlns:r="http://schemas.openxmlformats.org/officeDocument/2006/relationships">
  <dimension ref="A1"/>
  <sheetViews>
    <sheetView topLeftCell="E1" workbookViewId="0"/>
  </sheetViews>
  <sheetFormatPr defaultRowHeight="15"/>
  <sheetData/>
  <pageMargins left="0.7" right="0.7" top="0.75" bottom="0.75" header="0.3" footer="0.3"/>
</worksheet>
</file>

<file path=xl/worksheets/sheet5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4">
    <pageSetUpPr fitToPage="1"/>
  </sheetPr>
  <dimension ref="A1:G58"/>
  <sheetViews>
    <sheetView tabSelected="1" workbookViewId="0">
      <selection activeCell="D24" sqref="D24"/>
    </sheetView>
  </sheetViews>
  <sheetFormatPr defaultRowHeight="15.75"/>
  <cols>
    <col min="1" max="1" width="20.77734375" style="71" customWidth="1"/>
    <col min="2" max="2" width="9.77734375" style="71" customWidth="1"/>
    <col min="3" max="3" width="5.77734375" style="71" customWidth="1"/>
    <col min="4" max="7" width="12.77734375" style="71" customWidth="1"/>
    <col min="8" max="16384" width="8.88671875" style="71"/>
  </cols>
  <sheetData>
    <row r="1" spans="1:7">
      <c r="A1" s="124"/>
      <c r="B1" s="124"/>
      <c r="C1" s="124"/>
      <c r="D1" s="124"/>
      <c r="E1" s="124"/>
      <c r="F1" s="124"/>
      <c r="G1" s="124"/>
    </row>
    <row r="2" spans="1:7">
      <c r="A2" s="124"/>
      <c r="B2" s="124"/>
      <c r="C2" s="124"/>
      <c r="D2" s="124"/>
      <c r="E2" s="124"/>
      <c r="F2" s="124"/>
      <c r="G2" s="124"/>
    </row>
    <row r="3" spans="1:7">
      <c r="A3" s="143" t="str">
        <f>inputPrYr!C2</f>
        <v>Lyon County</v>
      </c>
      <c r="B3" s="124"/>
      <c r="C3" s="124"/>
      <c r="D3" s="124"/>
      <c r="E3" s="124"/>
      <c r="F3" s="124"/>
      <c r="G3" s="124">
        <f>inputPrYr!C4</f>
        <v>2014</v>
      </c>
    </row>
    <row r="4" spans="1:7">
      <c r="A4" s="750" t="s">
        <v>13</v>
      </c>
      <c r="B4" s="770"/>
      <c r="C4" s="770"/>
      <c r="D4" s="770"/>
      <c r="E4" s="770"/>
      <c r="F4" s="770"/>
      <c r="G4" s="770"/>
    </row>
    <row r="5" spans="1:7">
      <c r="A5" s="210"/>
      <c r="B5" s="92"/>
      <c r="C5" s="92"/>
      <c r="D5" s="210"/>
      <c r="E5" s="210"/>
      <c r="F5" s="210"/>
      <c r="G5" s="210"/>
    </row>
    <row r="6" spans="1:7">
      <c r="A6" s="84"/>
      <c r="B6" s="84"/>
      <c r="C6" s="84"/>
      <c r="D6" s="211" t="str">
        <f>CONCATENATE("",G3," Proposed Budget")</f>
        <v>2014 Proposed Budget</v>
      </c>
      <c r="E6" s="212"/>
      <c r="F6" s="212"/>
      <c r="G6" s="213"/>
    </row>
    <row r="7" spans="1:7" ht="21" customHeight="1">
      <c r="A7" s="84"/>
      <c r="B7" s="84"/>
      <c r="C7" s="214" t="s">
        <v>137</v>
      </c>
      <c r="D7" s="491" t="s">
        <v>673</v>
      </c>
      <c r="E7" s="777" t="str">
        <f>CONCATENATE("Amount of ",G3-1,"      Ad Valorem Tax")</f>
        <v>Amount of 2013      Ad Valorem Tax</v>
      </c>
      <c r="F7" s="777" t="s">
        <v>318</v>
      </c>
      <c r="G7" s="214" t="s">
        <v>138</v>
      </c>
    </row>
    <row r="8" spans="1:7">
      <c r="A8" s="215" t="s">
        <v>12</v>
      </c>
      <c r="B8" s="113"/>
      <c r="C8" s="216" t="s">
        <v>140</v>
      </c>
      <c r="D8" s="492" t="s">
        <v>674</v>
      </c>
      <c r="E8" s="757"/>
      <c r="F8" s="757"/>
      <c r="G8" s="216" t="s">
        <v>142</v>
      </c>
    </row>
    <row r="9" spans="1:7">
      <c r="A9" s="217" t="s">
        <v>11</v>
      </c>
      <c r="B9" s="218" t="s">
        <v>146</v>
      </c>
      <c r="C9" s="107"/>
      <c r="D9" s="107"/>
      <c r="E9" s="107"/>
      <c r="F9" s="107"/>
      <c r="G9" s="107"/>
    </row>
    <row r="10" spans="1:7">
      <c r="A10" s="744" t="s">
        <v>1057</v>
      </c>
      <c r="B10" s="9" t="s">
        <v>1113</v>
      </c>
      <c r="C10" s="146">
        <v>27</v>
      </c>
      <c r="D10" s="9">
        <v>128523</v>
      </c>
      <c r="E10" s="9">
        <v>93552</v>
      </c>
      <c r="F10" s="146"/>
      <c r="G10" s="191" t="str">
        <f>IF(AND(D10=0,F10&gt;=0)," ",IF(AND(E10&gt;0,F10=0)," ",IF(AND(E10&gt;0,F10&gt;0),ROUND(E10/F10*1000,3))))</f>
        <v xml:space="preserve"> </v>
      </c>
    </row>
    <row r="11" spans="1:7">
      <c r="A11" s="9" t="s">
        <v>1058</v>
      </c>
      <c r="B11" s="745" t="s">
        <v>1114</v>
      </c>
      <c r="C11" s="146">
        <v>27</v>
      </c>
      <c r="D11" s="9">
        <v>12000</v>
      </c>
      <c r="E11" s="9">
        <v>11075</v>
      </c>
      <c r="F11" s="146"/>
      <c r="G11" s="191" t="str">
        <f t="shared" ref="G11:G38" si="0">IF(AND(D11=0,F11&gt;=0)," ",IF(AND(E11&gt;0,F11=0)," ",IF(AND(E11&gt;0,F11&gt;0),ROUND(E11/F11*1000,3))))</f>
        <v xml:space="preserve"> </v>
      </c>
    </row>
    <row r="12" spans="1:7">
      <c r="A12" s="9" t="s">
        <v>1059</v>
      </c>
      <c r="B12" s="9" t="s">
        <v>1115</v>
      </c>
      <c r="C12" s="146">
        <v>27</v>
      </c>
      <c r="D12" s="9">
        <v>195956</v>
      </c>
      <c r="E12" s="9">
        <v>48673</v>
      </c>
      <c r="F12" s="146"/>
      <c r="G12" s="191" t="str">
        <f t="shared" si="0"/>
        <v xml:space="preserve"> </v>
      </c>
    </row>
    <row r="13" spans="1:7">
      <c r="A13" s="9" t="s">
        <v>1104</v>
      </c>
      <c r="B13" s="9" t="s">
        <v>1115</v>
      </c>
      <c r="C13" s="146">
        <v>27</v>
      </c>
      <c r="D13" s="9">
        <v>41625</v>
      </c>
      <c r="E13" s="9">
        <v>35411</v>
      </c>
      <c r="F13" s="146"/>
      <c r="G13" s="191" t="str">
        <f t="shared" si="0"/>
        <v xml:space="preserve"> </v>
      </c>
    </row>
    <row r="14" spans="1:7">
      <c r="A14" s="9" t="s">
        <v>1116</v>
      </c>
      <c r="B14" s="9" t="s">
        <v>329</v>
      </c>
      <c r="C14" s="146">
        <v>27</v>
      </c>
      <c r="D14" s="9">
        <v>19315</v>
      </c>
      <c r="E14" s="9">
        <v>11892</v>
      </c>
      <c r="F14" s="146"/>
      <c r="G14" s="191" t="str">
        <f t="shared" si="0"/>
        <v xml:space="preserve"> </v>
      </c>
    </row>
    <row r="15" spans="1:7">
      <c r="A15" s="9" t="s">
        <v>1060</v>
      </c>
      <c r="B15" s="9" t="s">
        <v>1115</v>
      </c>
      <c r="C15" s="146">
        <v>27</v>
      </c>
      <c r="D15" s="9">
        <v>66143</v>
      </c>
      <c r="E15" s="9">
        <v>28168</v>
      </c>
      <c r="F15" s="146"/>
      <c r="G15" s="191" t="str">
        <f t="shared" si="0"/>
        <v xml:space="preserve"> </v>
      </c>
    </row>
    <row r="16" spans="1:7">
      <c r="A16" s="9" t="s">
        <v>1061</v>
      </c>
      <c r="B16" s="9" t="s">
        <v>1115</v>
      </c>
      <c r="C16" s="146">
        <v>27</v>
      </c>
      <c r="D16" s="9">
        <v>200150</v>
      </c>
      <c r="E16" s="9">
        <v>132536</v>
      </c>
      <c r="F16" s="146"/>
      <c r="G16" s="191" t="str">
        <f t="shared" si="0"/>
        <v xml:space="preserve"> </v>
      </c>
    </row>
    <row r="17" spans="1:7">
      <c r="A17" s="9" t="s">
        <v>1062</v>
      </c>
      <c r="B17" s="9" t="s">
        <v>1115</v>
      </c>
      <c r="C17" s="146">
        <v>27</v>
      </c>
      <c r="D17" s="9">
        <v>83777</v>
      </c>
      <c r="E17" s="9">
        <v>71929</v>
      </c>
      <c r="F17" s="146"/>
      <c r="G17" s="191" t="str">
        <f t="shared" si="0"/>
        <v xml:space="preserve"> </v>
      </c>
    </row>
    <row r="18" spans="1:7">
      <c r="A18" s="146"/>
      <c r="B18" s="146"/>
      <c r="C18" s="146"/>
      <c r="D18" s="146"/>
      <c r="E18" s="146"/>
      <c r="F18" s="146"/>
      <c r="G18" s="191" t="str">
        <f t="shared" si="0"/>
        <v xml:space="preserve"> </v>
      </c>
    </row>
    <row r="19" spans="1:7">
      <c r="A19" s="146"/>
      <c r="B19" s="146"/>
      <c r="C19" s="146"/>
      <c r="D19" s="146"/>
      <c r="E19" s="146"/>
      <c r="F19" s="146"/>
      <c r="G19" s="191" t="str">
        <f t="shared" si="0"/>
        <v xml:space="preserve"> </v>
      </c>
    </row>
    <row r="20" spans="1:7">
      <c r="A20" s="146"/>
      <c r="B20" s="146"/>
      <c r="C20" s="146"/>
      <c r="D20" s="146"/>
      <c r="E20" s="146"/>
      <c r="F20" s="146"/>
      <c r="G20" s="191" t="str">
        <f t="shared" si="0"/>
        <v xml:space="preserve"> </v>
      </c>
    </row>
    <row r="21" spans="1:7">
      <c r="A21" s="146"/>
      <c r="B21" s="146"/>
      <c r="C21" s="146"/>
      <c r="D21" s="146"/>
      <c r="E21" s="146"/>
      <c r="F21" s="146"/>
      <c r="G21" s="191" t="str">
        <f t="shared" si="0"/>
        <v xml:space="preserve"> </v>
      </c>
    </row>
    <row r="22" spans="1:7">
      <c r="A22" s="146"/>
      <c r="B22" s="146"/>
      <c r="C22" s="146"/>
      <c r="D22" s="146"/>
      <c r="E22" s="146"/>
      <c r="F22" s="146"/>
      <c r="G22" s="191" t="str">
        <f t="shared" si="0"/>
        <v xml:space="preserve"> </v>
      </c>
    </row>
    <row r="23" spans="1:7">
      <c r="A23" s="146"/>
      <c r="B23" s="146"/>
      <c r="C23" s="146"/>
      <c r="D23" s="146"/>
      <c r="E23" s="146"/>
      <c r="F23" s="146"/>
      <c r="G23" s="191" t="str">
        <f t="shared" si="0"/>
        <v xml:space="preserve"> </v>
      </c>
    </row>
    <row r="24" spans="1:7">
      <c r="A24" s="146"/>
      <c r="B24" s="146"/>
      <c r="C24" s="146"/>
      <c r="D24" s="146"/>
      <c r="E24" s="146"/>
      <c r="F24" s="146"/>
      <c r="G24" s="191" t="str">
        <f t="shared" si="0"/>
        <v xml:space="preserve"> </v>
      </c>
    </row>
    <row r="25" spans="1:7">
      <c r="A25" s="146"/>
      <c r="B25" s="146"/>
      <c r="C25" s="146"/>
      <c r="D25" s="146"/>
      <c r="E25" s="146"/>
      <c r="F25" s="146"/>
      <c r="G25" s="191" t="str">
        <f t="shared" si="0"/>
        <v xml:space="preserve"> </v>
      </c>
    </row>
    <row r="26" spans="1:7">
      <c r="A26" s="146"/>
      <c r="B26" s="146"/>
      <c r="C26" s="146"/>
      <c r="D26" s="146"/>
      <c r="E26" s="146"/>
      <c r="F26" s="146"/>
      <c r="G26" s="191" t="str">
        <f t="shared" si="0"/>
        <v xml:space="preserve"> </v>
      </c>
    </row>
    <row r="27" spans="1:7">
      <c r="A27" s="146"/>
      <c r="B27" s="146"/>
      <c r="C27" s="146"/>
      <c r="D27" s="146"/>
      <c r="E27" s="146"/>
      <c r="F27" s="146"/>
      <c r="G27" s="191" t="str">
        <f t="shared" si="0"/>
        <v xml:space="preserve"> </v>
      </c>
    </row>
    <row r="28" spans="1:7">
      <c r="A28" s="146"/>
      <c r="B28" s="146"/>
      <c r="C28" s="146"/>
      <c r="D28" s="146"/>
      <c r="E28" s="146"/>
      <c r="F28" s="146"/>
      <c r="G28" s="191" t="str">
        <f t="shared" si="0"/>
        <v xml:space="preserve"> </v>
      </c>
    </row>
    <row r="29" spans="1:7">
      <c r="A29" s="146"/>
      <c r="B29" s="110"/>
      <c r="C29" s="146"/>
      <c r="D29" s="146"/>
      <c r="E29" s="110"/>
      <c r="F29" s="110"/>
      <c r="G29" s="191" t="str">
        <f t="shared" si="0"/>
        <v xml:space="preserve"> </v>
      </c>
    </row>
    <row r="30" spans="1:7">
      <c r="A30" s="146"/>
      <c r="B30" s="110"/>
      <c r="C30" s="146"/>
      <c r="D30" s="146"/>
      <c r="E30" s="110"/>
      <c r="F30" s="110"/>
      <c r="G30" s="191" t="str">
        <f t="shared" si="0"/>
        <v xml:space="preserve"> </v>
      </c>
    </row>
    <row r="31" spans="1:7">
      <c r="A31" s="146"/>
      <c r="B31" s="110"/>
      <c r="C31" s="146"/>
      <c r="D31" s="146"/>
      <c r="E31" s="110"/>
      <c r="F31" s="110"/>
      <c r="G31" s="191" t="str">
        <f t="shared" si="0"/>
        <v xml:space="preserve"> </v>
      </c>
    </row>
    <row r="32" spans="1:7">
      <c r="A32" s="146"/>
      <c r="B32" s="110"/>
      <c r="C32" s="146"/>
      <c r="D32" s="146"/>
      <c r="E32" s="110"/>
      <c r="F32" s="110"/>
      <c r="G32" s="191" t="str">
        <f t="shared" si="0"/>
        <v xml:space="preserve"> </v>
      </c>
    </row>
    <row r="33" spans="1:7">
      <c r="A33" s="146"/>
      <c r="B33" s="110"/>
      <c r="C33" s="146"/>
      <c r="D33" s="146"/>
      <c r="E33" s="110"/>
      <c r="F33" s="110"/>
      <c r="G33" s="191" t="str">
        <f t="shared" si="0"/>
        <v xml:space="preserve"> </v>
      </c>
    </row>
    <row r="34" spans="1:7">
      <c r="A34" s="146"/>
      <c r="B34" s="110"/>
      <c r="C34" s="146"/>
      <c r="D34" s="146"/>
      <c r="E34" s="110"/>
      <c r="F34" s="110"/>
      <c r="G34" s="191" t="str">
        <f t="shared" si="0"/>
        <v xml:space="preserve"> </v>
      </c>
    </row>
    <row r="35" spans="1:7">
      <c r="A35" s="146"/>
      <c r="B35" s="110"/>
      <c r="C35" s="146"/>
      <c r="D35" s="146"/>
      <c r="E35" s="110"/>
      <c r="F35" s="110"/>
      <c r="G35" s="191" t="str">
        <f t="shared" si="0"/>
        <v xml:space="preserve"> </v>
      </c>
    </row>
    <row r="36" spans="1:7">
      <c r="A36" s="146"/>
      <c r="B36" s="110"/>
      <c r="C36" s="146"/>
      <c r="D36" s="146"/>
      <c r="E36" s="110"/>
      <c r="F36" s="110"/>
      <c r="G36" s="191" t="str">
        <f t="shared" si="0"/>
        <v xml:space="preserve"> </v>
      </c>
    </row>
    <row r="37" spans="1:7">
      <c r="A37" s="146"/>
      <c r="B37" s="110"/>
      <c r="C37" s="146"/>
      <c r="D37" s="146"/>
      <c r="E37" s="110"/>
      <c r="F37" s="110"/>
      <c r="G37" s="191" t="str">
        <f t="shared" si="0"/>
        <v xml:space="preserve"> </v>
      </c>
    </row>
    <row r="38" spans="1:7">
      <c r="A38" s="146"/>
      <c r="B38" s="110"/>
      <c r="C38" s="146"/>
      <c r="D38" s="146"/>
      <c r="E38" s="110"/>
      <c r="F38" s="110"/>
      <c r="G38" s="191" t="str">
        <f t="shared" si="0"/>
        <v xml:space="preserve"> </v>
      </c>
    </row>
    <row r="39" spans="1:7" ht="16.5" thickBot="1">
      <c r="A39" s="147" t="s">
        <v>147</v>
      </c>
      <c r="B39" s="114"/>
      <c r="C39" s="219" t="s">
        <v>148</v>
      </c>
      <c r="D39" s="220">
        <f>SUM(D10:D38)</f>
        <v>747489</v>
      </c>
      <c r="E39" s="220">
        <f>SUM(E10:E38)</f>
        <v>433236</v>
      </c>
      <c r="F39" s="220"/>
      <c r="G39" s="221">
        <f>SUM(G10:G38)</f>
        <v>0</v>
      </c>
    </row>
    <row r="40" spans="1:7" ht="16.5" thickTop="1">
      <c r="A40" s="120"/>
      <c r="B40" s="87"/>
      <c r="C40" s="222"/>
      <c r="D40" s="84"/>
      <c r="E40" s="84"/>
      <c r="F40" s="84"/>
      <c r="G40" s="84"/>
    </row>
    <row r="41" spans="1:7">
      <c r="A41" s="120"/>
      <c r="B41" s="84"/>
      <c r="C41" s="84"/>
      <c r="D41" s="84"/>
      <c r="E41" s="84"/>
      <c r="F41" s="84"/>
      <c r="G41" s="84"/>
    </row>
    <row r="42" spans="1:7">
      <c r="A42" s="223"/>
      <c r="B42" s="142"/>
      <c r="C42" s="142"/>
      <c r="D42" s="142"/>
      <c r="E42" s="142"/>
      <c r="F42" s="142"/>
      <c r="G42" s="142"/>
    </row>
    <row r="43" spans="1:7">
      <c r="A43" s="224"/>
      <c r="B43" s="224"/>
      <c r="C43" s="224"/>
      <c r="D43" s="224"/>
      <c r="E43" s="224"/>
      <c r="F43" s="224"/>
      <c r="G43" s="224"/>
    </row>
    <row r="44" spans="1:7">
      <c r="A44" s="142"/>
      <c r="B44" s="142"/>
      <c r="C44" s="142"/>
      <c r="D44" s="142"/>
      <c r="E44" s="142"/>
      <c r="F44" s="142"/>
      <c r="G44" s="225"/>
    </row>
    <row r="54" spans="1:7">
      <c r="A54" s="142"/>
      <c r="B54" s="142"/>
      <c r="C54" s="142"/>
      <c r="D54" s="142"/>
      <c r="E54" s="142"/>
      <c r="F54" s="142"/>
      <c r="G54" s="142"/>
    </row>
    <row r="58" spans="1:7">
      <c r="A58" s="142"/>
      <c r="B58" s="142"/>
      <c r="C58" s="142"/>
      <c r="D58" s="223"/>
      <c r="E58" s="142"/>
      <c r="F58" s="142"/>
      <c r="G58" s="142"/>
    </row>
  </sheetData>
  <sheetProtection sheet="1"/>
  <mergeCells count="3">
    <mergeCell ref="E7:E8"/>
    <mergeCell ref="F7:F8"/>
    <mergeCell ref="A4:G4"/>
  </mergeCells>
  <phoneticPr fontId="0" type="noConversion"/>
  <pageMargins left="0.5" right="0.5" top="0" bottom="0.23" header="0" footer="0"/>
  <pageSetup scale="91" orientation="portrait" blackAndWhite="1" horizontalDpi="120" verticalDpi="144" r:id="rId1"/>
  <headerFooter alignWithMargins="0">
    <oddHeader xml:space="preserve">&amp;RState of Kansas
County
</oddHeader>
    <oddFooter>&amp;CPage No. 1a</oddFooter>
  </headerFooter>
</worksheet>
</file>

<file path=xl/worksheets/sheet7.xml><?xml version="1.0" encoding="utf-8"?>
<worksheet xmlns="http://schemas.openxmlformats.org/spreadsheetml/2006/main" xmlns:r="http://schemas.openxmlformats.org/officeDocument/2006/relationships">
  <sheetPr codeName="Sheet5">
    <pageSetUpPr fitToPage="1"/>
  </sheetPr>
  <dimension ref="A1:J38"/>
  <sheetViews>
    <sheetView zoomScale="85" workbookViewId="0">
      <selection activeCell="E14" sqref="E14"/>
    </sheetView>
  </sheetViews>
  <sheetFormatPr defaultRowHeight="15.95" customHeight="1"/>
  <cols>
    <col min="1" max="2" width="3.33203125" style="71" customWidth="1"/>
    <col min="3" max="3" width="31.33203125" style="71" customWidth="1"/>
    <col min="4" max="4" width="2.33203125" style="71" customWidth="1"/>
    <col min="5" max="5" width="15.77734375" style="71" customWidth="1"/>
    <col min="6" max="6" width="2" style="71" customWidth="1"/>
    <col min="7" max="7" width="15.77734375" style="71" customWidth="1"/>
    <col min="8" max="8" width="1.88671875" style="71" customWidth="1"/>
    <col min="9" max="9" width="1.77734375" style="71" customWidth="1"/>
    <col min="10" max="10" width="15.77734375" style="71" customWidth="1"/>
    <col min="11" max="16384" width="8.88671875" style="71"/>
  </cols>
  <sheetData>
    <row r="1" spans="1:10" ht="15.95" customHeight="1">
      <c r="A1" s="84"/>
      <c r="B1" s="84"/>
      <c r="C1" s="226" t="str">
        <f>inputPrYr!C2</f>
        <v>Lyon County</v>
      </c>
      <c r="D1" s="84"/>
      <c r="E1" s="84"/>
      <c r="F1" s="84"/>
      <c r="G1" s="84"/>
      <c r="H1" s="84"/>
      <c r="I1" s="84"/>
      <c r="J1" s="84">
        <f>inputPrYr!C4</f>
        <v>2014</v>
      </c>
    </row>
    <row r="2" spans="1:10" ht="15.95" customHeight="1">
      <c r="A2" s="84"/>
      <c r="B2" s="84"/>
      <c r="C2" s="84"/>
      <c r="D2" s="84"/>
      <c r="E2" s="84"/>
      <c r="F2" s="84"/>
      <c r="G2" s="84"/>
      <c r="H2" s="84"/>
      <c r="I2" s="84"/>
      <c r="J2" s="84"/>
    </row>
    <row r="3" spans="1:10" ht="15.75">
      <c r="A3" s="750" t="str">
        <f>CONCATENATE("Computation to Determine Limit for ",J1,"")</f>
        <v>Computation to Determine Limit for 2014</v>
      </c>
      <c r="B3" s="779"/>
      <c r="C3" s="779"/>
      <c r="D3" s="779"/>
      <c r="E3" s="779"/>
      <c r="F3" s="779"/>
      <c r="G3" s="779"/>
      <c r="H3" s="779"/>
      <c r="I3" s="779"/>
      <c r="J3" s="779"/>
    </row>
    <row r="4" spans="1:10" ht="15.75">
      <c r="A4" s="84"/>
      <c r="B4" s="84"/>
      <c r="C4" s="84"/>
      <c r="D4" s="84"/>
      <c r="E4" s="779"/>
      <c r="F4" s="779"/>
      <c r="G4" s="779"/>
      <c r="H4" s="227"/>
      <c r="I4" s="84"/>
      <c r="J4" s="228" t="s">
        <v>242</v>
      </c>
    </row>
    <row r="5" spans="1:10" ht="15.75">
      <c r="A5" s="229" t="s">
        <v>243</v>
      </c>
      <c r="B5" s="84" t="str">
        <f>CONCATENATE("Total Tax Levy Amount in ",J1-1," Budget")</f>
        <v>Total Tax Levy Amount in 2013 Budget</v>
      </c>
      <c r="C5" s="84"/>
      <c r="D5" s="84"/>
      <c r="E5" s="144"/>
      <c r="F5" s="144"/>
      <c r="G5" s="144"/>
      <c r="H5" s="230" t="s">
        <v>244</v>
      </c>
      <c r="I5" s="144" t="s">
        <v>245</v>
      </c>
      <c r="J5" s="231">
        <f>inputPrYr!E41</f>
        <v>15035000</v>
      </c>
    </row>
    <row r="6" spans="1:10" ht="15.75">
      <c r="A6" s="229" t="s">
        <v>246</v>
      </c>
      <c r="B6" s="84" t="str">
        <f>CONCATENATE("Debt Service Levy in ",J1-1," Budget")</f>
        <v>Debt Service Levy in 2013 Budget</v>
      </c>
      <c r="C6" s="84"/>
      <c r="D6" s="84"/>
      <c r="E6" s="144"/>
      <c r="F6" s="144"/>
      <c r="G6" s="144"/>
      <c r="H6" s="230" t="s">
        <v>247</v>
      </c>
      <c r="I6" s="144" t="s">
        <v>245</v>
      </c>
      <c r="J6" s="150">
        <f>inputPrYr!E17</f>
        <v>0</v>
      </c>
    </row>
    <row r="7" spans="1:10" ht="15.75">
      <c r="A7" s="229" t="s">
        <v>248</v>
      </c>
      <c r="B7" s="151" t="s">
        <v>267</v>
      </c>
      <c r="C7" s="84"/>
      <c r="D7" s="84"/>
      <c r="E7" s="144"/>
      <c r="F7" s="144"/>
      <c r="G7" s="144"/>
      <c r="H7" s="144"/>
      <c r="I7" s="144" t="s">
        <v>245</v>
      </c>
      <c r="J7" s="150">
        <f>J5-J6</f>
        <v>15035000</v>
      </c>
    </row>
    <row r="8" spans="1:10" ht="15.75">
      <c r="A8" s="84"/>
      <c r="B8" s="84"/>
      <c r="C8" s="84"/>
      <c r="D8" s="84"/>
      <c r="E8" s="144"/>
      <c r="F8" s="144"/>
      <c r="G8" s="144"/>
      <c r="H8" s="144"/>
      <c r="I8" s="144"/>
      <c r="J8" s="144"/>
    </row>
    <row r="9" spans="1:10" ht="15.75">
      <c r="A9" s="84"/>
      <c r="B9" s="151" t="str">
        <f>CONCATENATE("",J1-1," Valuation Information for Valuation Adjustments:")</f>
        <v>2013 Valuation Information for Valuation Adjustments:</v>
      </c>
      <c r="C9" s="84"/>
      <c r="D9" s="84"/>
      <c r="E9" s="144"/>
      <c r="F9" s="144"/>
      <c r="G9" s="144"/>
      <c r="H9" s="144"/>
      <c r="I9" s="144"/>
      <c r="J9" s="144"/>
    </row>
    <row r="10" spans="1:10" ht="15.75">
      <c r="A10" s="84"/>
      <c r="B10" s="84"/>
      <c r="C10" s="151"/>
      <c r="D10" s="84"/>
      <c r="E10" s="144"/>
      <c r="F10" s="144"/>
      <c r="G10" s="144"/>
      <c r="H10" s="144"/>
      <c r="I10" s="144"/>
      <c r="J10" s="144"/>
    </row>
    <row r="11" spans="1:10" ht="15.75">
      <c r="A11" s="229" t="s">
        <v>249</v>
      </c>
      <c r="B11" s="151" t="str">
        <f>CONCATENATE("New Improvements for ",J1-1,":")</f>
        <v>New Improvements for 2013:</v>
      </c>
      <c r="C11" s="84"/>
      <c r="D11" s="84"/>
      <c r="E11" s="230"/>
      <c r="F11" s="230" t="s">
        <v>244</v>
      </c>
      <c r="G11" s="231">
        <f>inputOth!E7</f>
        <v>1088901</v>
      </c>
      <c r="H11" s="122"/>
      <c r="I11" s="144"/>
      <c r="J11" s="144"/>
    </row>
    <row r="12" spans="1:10" ht="15.75">
      <c r="A12" s="229"/>
      <c r="B12" s="229"/>
      <c r="C12" s="84"/>
      <c r="D12" s="84"/>
      <c r="E12" s="230"/>
      <c r="F12" s="230"/>
      <c r="G12" s="122"/>
      <c r="H12" s="122"/>
      <c r="I12" s="144"/>
      <c r="J12" s="144"/>
    </row>
    <row r="13" spans="1:10" ht="15.75">
      <c r="A13" s="229" t="s">
        <v>250</v>
      </c>
      <c r="B13" s="151" t="str">
        <f>CONCATENATE("Increase in Personal Property for ",J1-1,":")</f>
        <v>Increase in Personal Property for 2013:</v>
      </c>
      <c r="C13" s="84"/>
      <c r="D13" s="84"/>
      <c r="E13" s="230"/>
      <c r="F13" s="230"/>
      <c r="G13" s="122"/>
      <c r="H13" s="122"/>
      <c r="I13" s="144"/>
      <c r="J13" s="144"/>
    </row>
    <row r="14" spans="1:10" ht="15.75">
      <c r="A14" s="84"/>
      <c r="B14" s="84" t="s">
        <v>251</v>
      </c>
      <c r="C14" s="84" t="str">
        <f>CONCATENATE("Personal Property ",J1-1,"")</f>
        <v>Personal Property 2013</v>
      </c>
      <c r="D14" s="229" t="s">
        <v>244</v>
      </c>
      <c r="E14" s="231">
        <f>inputOth!E8</f>
        <v>10034310</v>
      </c>
      <c r="F14" s="230"/>
      <c r="G14" s="144"/>
      <c r="H14" s="144"/>
      <c r="I14" s="122"/>
      <c r="J14" s="144"/>
    </row>
    <row r="15" spans="1:10" ht="15.75">
      <c r="A15" s="229"/>
      <c r="B15" s="84" t="s">
        <v>252</v>
      </c>
      <c r="C15" s="84" t="str">
        <f>CONCATENATE("Personal Property ",J1-2,"")</f>
        <v>Personal Property 2012</v>
      </c>
      <c r="D15" s="229" t="s">
        <v>247</v>
      </c>
      <c r="E15" s="150">
        <f>inputOth!E10</f>
        <v>11138606</v>
      </c>
      <c r="F15" s="230"/>
      <c r="G15" s="122"/>
      <c r="H15" s="122"/>
      <c r="I15" s="144"/>
      <c r="J15" s="144"/>
    </row>
    <row r="16" spans="1:10" ht="15.75">
      <c r="A16" s="229"/>
      <c r="B16" s="84" t="s">
        <v>253</v>
      </c>
      <c r="C16" s="84" t="s">
        <v>269</v>
      </c>
      <c r="D16" s="84"/>
      <c r="E16" s="144"/>
      <c r="F16" s="144" t="s">
        <v>244</v>
      </c>
      <c r="G16" s="231">
        <f>IF(E14&gt;E15,E14-E15,0)</f>
        <v>0</v>
      </c>
      <c r="H16" s="122"/>
      <c r="I16" s="144"/>
      <c r="J16" s="144"/>
    </row>
    <row r="17" spans="1:10" ht="15.75">
      <c r="A17" s="229"/>
      <c r="B17" s="229"/>
      <c r="C17" s="84"/>
      <c r="D17" s="84"/>
      <c r="E17" s="144"/>
      <c r="F17" s="144"/>
      <c r="G17" s="122" t="s">
        <v>259</v>
      </c>
      <c r="H17" s="122"/>
      <c r="I17" s="144"/>
      <c r="J17" s="144"/>
    </row>
    <row r="18" spans="1:10" ht="15.75">
      <c r="A18" s="229"/>
      <c r="B18" s="229"/>
      <c r="C18" s="84"/>
      <c r="D18" s="229"/>
      <c r="E18" s="122"/>
      <c r="F18" s="144"/>
      <c r="G18" s="122"/>
      <c r="H18" s="122"/>
      <c r="I18" s="144"/>
      <c r="J18" s="144"/>
    </row>
    <row r="19" spans="1:10" ht="15.75">
      <c r="A19" s="229" t="s">
        <v>254</v>
      </c>
      <c r="B19" s="151" t="str">
        <f>CONCATENATE("Valuation of Property that has Changed in Use during ",J1-1,":")</f>
        <v>Valuation of Property that has Changed in Use during 2013:</v>
      </c>
      <c r="C19" s="84"/>
      <c r="D19" s="84"/>
      <c r="E19" s="144"/>
      <c r="F19" s="144"/>
      <c r="G19" s="144">
        <f>inputOth!E9</f>
        <v>1213310</v>
      </c>
      <c r="H19" s="144"/>
      <c r="I19" s="144"/>
      <c r="J19" s="144"/>
    </row>
    <row r="20" spans="1:10" ht="15.75">
      <c r="A20" s="229"/>
      <c r="B20" s="84"/>
      <c r="C20" s="84"/>
      <c r="D20" s="229"/>
      <c r="E20" s="122"/>
      <c r="F20" s="144"/>
      <c r="G20" s="232"/>
      <c r="H20" s="122"/>
      <c r="I20" s="144"/>
      <c r="J20" s="144"/>
    </row>
    <row r="21" spans="1:10" ht="15.75">
      <c r="A21" s="229" t="s">
        <v>263</v>
      </c>
      <c r="B21" s="151" t="s">
        <v>268</v>
      </c>
      <c r="C21" s="84"/>
      <c r="D21" s="84"/>
      <c r="E21" s="144"/>
      <c r="F21" s="144"/>
      <c r="G21" s="231">
        <f>G11+G16+G19</f>
        <v>2302211</v>
      </c>
      <c r="H21" s="122"/>
      <c r="I21" s="144"/>
      <c r="J21" s="144"/>
    </row>
    <row r="22" spans="1:10" ht="15.75">
      <c r="A22" s="229"/>
      <c r="B22" s="229"/>
      <c r="C22" s="151"/>
      <c r="D22" s="84"/>
      <c r="E22" s="144"/>
      <c r="F22" s="144"/>
      <c r="G22" s="122"/>
      <c r="H22" s="122"/>
      <c r="I22" s="144"/>
      <c r="J22" s="144"/>
    </row>
    <row r="23" spans="1:10" ht="15.75">
      <c r="A23" s="229" t="s">
        <v>264</v>
      </c>
      <c r="B23" s="84" t="str">
        <f>CONCATENATE("Total Estimated Valuation July 1,",J1-1,"")</f>
        <v>Total Estimated Valuation July 1,2013</v>
      </c>
      <c r="C23" s="84"/>
      <c r="D23" s="84"/>
      <c r="E23" s="231">
        <f>inputOth!E6</f>
        <v>269025233</v>
      </c>
      <c r="F23" s="144"/>
      <c r="G23" s="144"/>
      <c r="H23" s="144"/>
      <c r="I23" s="230"/>
      <c r="J23" s="144"/>
    </row>
    <row r="24" spans="1:10" ht="15.75">
      <c r="A24" s="229"/>
      <c r="B24" s="229"/>
      <c r="C24" s="84"/>
      <c r="D24" s="84"/>
      <c r="E24" s="122"/>
      <c r="F24" s="144"/>
      <c r="G24" s="144"/>
      <c r="H24" s="144"/>
      <c r="I24" s="230"/>
      <c r="J24" s="144"/>
    </row>
    <row r="25" spans="1:10" ht="15.75">
      <c r="A25" s="229" t="s">
        <v>255</v>
      </c>
      <c r="B25" s="151" t="s">
        <v>272</v>
      </c>
      <c r="C25" s="84"/>
      <c r="D25" s="84"/>
      <c r="E25" s="144"/>
      <c r="F25" s="144"/>
      <c r="G25" s="231">
        <f>E23-G21</f>
        <v>266723022</v>
      </c>
      <c r="H25" s="122"/>
      <c r="I25" s="230"/>
      <c r="J25" s="144"/>
    </row>
    <row r="26" spans="1:10" ht="15.75">
      <c r="A26" s="229"/>
      <c r="B26" s="229"/>
      <c r="C26" s="151"/>
      <c r="D26" s="84"/>
      <c r="E26" s="84"/>
      <c r="F26" s="84"/>
      <c r="G26" s="233"/>
      <c r="H26" s="87"/>
      <c r="I26" s="229"/>
      <c r="J26" s="84"/>
    </row>
    <row r="27" spans="1:10" ht="15.75">
      <c r="A27" s="229" t="s">
        <v>256</v>
      </c>
      <c r="B27" s="84" t="s">
        <v>271</v>
      </c>
      <c r="C27" s="84"/>
      <c r="D27" s="84"/>
      <c r="E27" s="84"/>
      <c r="F27" s="84"/>
      <c r="G27" s="234">
        <f>IF(G21&gt;0,G21/G25,0)</f>
        <v>8.6314671404705366E-3</v>
      </c>
      <c r="H27" s="87"/>
      <c r="I27" s="84"/>
      <c r="J27" s="84"/>
    </row>
    <row r="28" spans="1:10" ht="15.75">
      <c r="A28" s="229"/>
      <c r="B28" s="229"/>
      <c r="C28" s="84"/>
      <c r="D28" s="84"/>
      <c r="E28" s="84"/>
      <c r="F28" s="84"/>
      <c r="G28" s="87"/>
      <c r="H28" s="87"/>
      <c r="I28" s="84"/>
      <c r="J28" s="84"/>
    </row>
    <row r="29" spans="1:10" ht="15.75">
      <c r="A29" s="229" t="s">
        <v>257</v>
      </c>
      <c r="B29" s="84" t="s">
        <v>270</v>
      </c>
      <c r="C29" s="84"/>
      <c r="D29" s="84"/>
      <c r="E29" s="84"/>
      <c r="F29" s="84"/>
      <c r="G29" s="87"/>
      <c r="H29" s="235" t="s">
        <v>244</v>
      </c>
      <c r="I29" s="84" t="s">
        <v>245</v>
      </c>
      <c r="J29" s="231">
        <f>ROUND(G27*J7,0)</f>
        <v>129774</v>
      </c>
    </row>
    <row r="30" spans="1:10" ht="15.75">
      <c r="A30" s="229"/>
      <c r="B30" s="229"/>
      <c r="C30" s="84"/>
      <c r="D30" s="84"/>
      <c r="E30" s="84"/>
      <c r="F30" s="84"/>
      <c r="G30" s="87"/>
      <c r="H30" s="235"/>
      <c r="I30" s="84"/>
      <c r="J30" s="122"/>
    </row>
    <row r="31" spans="1:10" ht="16.5" thickBot="1">
      <c r="A31" s="229" t="s">
        <v>258</v>
      </c>
      <c r="B31" s="151" t="s">
        <v>276</v>
      </c>
      <c r="C31" s="84"/>
      <c r="D31" s="84"/>
      <c r="E31" s="84"/>
      <c r="F31" s="84"/>
      <c r="G31" s="84"/>
      <c r="H31" s="84"/>
      <c r="I31" s="84" t="s">
        <v>245</v>
      </c>
      <c r="J31" s="236">
        <f>J7+J29</f>
        <v>15164774</v>
      </c>
    </row>
    <row r="32" spans="1:10" ht="16.5" thickTop="1">
      <c r="A32" s="84"/>
      <c r="B32" s="84"/>
      <c r="C32" s="84"/>
      <c r="D32" s="84"/>
      <c r="E32" s="84"/>
      <c r="F32" s="84"/>
      <c r="G32" s="84"/>
      <c r="H32" s="84"/>
      <c r="I32" s="84"/>
      <c r="J32" s="84"/>
    </row>
    <row r="33" spans="1:10" ht="15.75">
      <c r="A33" s="229" t="s">
        <v>274</v>
      </c>
      <c r="B33" s="151" t="str">
        <f>CONCATENATE("Debt Service Levy in this ",J1," Budget")</f>
        <v>Debt Service Levy in this 2014 Budget</v>
      </c>
      <c r="C33" s="84"/>
      <c r="D33" s="84"/>
      <c r="E33" s="84"/>
      <c r="F33" s="84"/>
      <c r="G33" s="84"/>
      <c r="H33" s="84"/>
      <c r="I33" s="84"/>
      <c r="J33" s="231">
        <f>DebtService!E57</f>
        <v>0</v>
      </c>
    </row>
    <row r="34" spans="1:10" ht="15.75">
      <c r="A34" s="229"/>
      <c r="B34" s="151"/>
      <c r="C34" s="84"/>
      <c r="D34" s="84"/>
      <c r="E34" s="84"/>
      <c r="F34" s="84"/>
      <c r="G34" s="84"/>
      <c r="H34" s="84"/>
      <c r="I34" s="84"/>
      <c r="J34" s="87"/>
    </row>
    <row r="35" spans="1:10" ht="16.5" thickBot="1">
      <c r="A35" s="229" t="s">
        <v>275</v>
      </c>
      <c r="B35" s="151" t="s">
        <v>277</v>
      </c>
      <c r="C35" s="84"/>
      <c r="D35" s="84"/>
      <c r="E35" s="84"/>
      <c r="F35" s="84"/>
      <c r="G35" s="84"/>
      <c r="H35" s="84"/>
      <c r="I35" s="84"/>
      <c r="J35" s="236">
        <f>J31+J33</f>
        <v>15164774</v>
      </c>
    </row>
    <row r="36" spans="1:10" ht="16.5" thickTop="1">
      <c r="A36" s="84"/>
      <c r="B36" s="84"/>
      <c r="C36" s="84"/>
      <c r="D36" s="84"/>
      <c r="E36" s="84"/>
      <c r="F36" s="84"/>
      <c r="G36" s="84"/>
      <c r="H36" s="84"/>
      <c r="I36" s="84"/>
      <c r="J36" s="84"/>
    </row>
    <row r="37" spans="1:10" s="237" customFormat="1" ht="18.75">
      <c r="A37" s="778" t="str">
        <f>CONCATENATE("If the ",J1," budget includes tax levies exceeding the total on line 14, you must")</f>
        <v>If the 2014 budget includes tax levies exceeding the total on line 14, you must</v>
      </c>
      <c r="B37" s="778"/>
      <c r="C37" s="778"/>
      <c r="D37" s="778"/>
      <c r="E37" s="778"/>
      <c r="F37" s="778"/>
      <c r="G37" s="778"/>
      <c r="H37" s="778"/>
      <c r="I37" s="778"/>
      <c r="J37" s="778"/>
    </row>
    <row r="38" spans="1:10" s="237" customFormat="1" ht="18.75">
      <c r="A38" s="778" t="s">
        <v>273</v>
      </c>
      <c r="B38" s="778"/>
      <c r="C38" s="778"/>
      <c r="D38" s="778"/>
      <c r="E38" s="778"/>
      <c r="F38" s="778"/>
      <c r="G38" s="778"/>
      <c r="H38" s="778"/>
      <c r="I38" s="778"/>
      <c r="J38" s="778"/>
    </row>
  </sheetData>
  <sheetProtection sheet="1"/>
  <mergeCells count="4">
    <mergeCell ref="A37:J37"/>
    <mergeCell ref="A38:J38"/>
    <mergeCell ref="A3:J3"/>
    <mergeCell ref="E4:G4"/>
  </mergeCells>
  <phoneticPr fontId="0" type="noConversion"/>
  <pageMargins left="0.5" right="0.5" top="0.72" bottom="0.23" header="0.5" footer="0"/>
  <pageSetup scale="85" orientation="portrait" blackAndWhite="1" r:id="rId1"/>
  <headerFooter alignWithMargins="0">
    <oddHeader xml:space="preserve">&amp;RState of Kansas
County
</oddHeader>
    <oddFooter>&amp;CPage No. 2</oddFooter>
  </headerFooter>
</worksheet>
</file>

<file path=xl/worksheets/sheet8.xml><?xml version="1.0" encoding="utf-8"?>
<worksheet xmlns="http://schemas.openxmlformats.org/spreadsheetml/2006/main" xmlns:r="http://schemas.openxmlformats.org/officeDocument/2006/relationships">
  <sheetPr codeName="Sheet6">
    <pageSetUpPr fitToPage="1"/>
  </sheetPr>
  <dimension ref="A1:J47"/>
  <sheetViews>
    <sheetView zoomScaleNormal="100" workbookViewId="0">
      <selection activeCell="H42" sqref="H42"/>
    </sheetView>
  </sheetViews>
  <sheetFormatPr defaultRowHeight="15.75"/>
  <cols>
    <col min="1" max="1" width="6.88671875" style="2" customWidth="1"/>
    <col min="2" max="2" width="18.77734375" style="2" customWidth="1"/>
    <col min="3" max="3" width="12.77734375" style="2" customWidth="1"/>
    <col min="4" max="4" width="0.21875" style="2" customWidth="1"/>
    <col min="5" max="9" width="11.77734375" style="2" customWidth="1"/>
    <col min="10" max="16384" width="8.88671875" style="2"/>
  </cols>
  <sheetData>
    <row r="1" spans="1:10">
      <c r="A1" s="68"/>
      <c r="B1" s="26" t="str">
        <f>inputPrYr!C2</f>
        <v>Lyon County</v>
      </c>
      <c r="C1" s="14"/>
      <c r="D1" s="14"/>
      <c r="E1" s="14"/>
      <c r="F1" s="14"/>
      <c r="G1" s="13"/>
      <c r="H1" s="13"/>
      <c r="I1" s="65">
        <f>inputPrYr!C4</f>
        <v>2014</v>
      </c>
    </row>
    <row r="2" spans="1:10">
      <c r="A2" s="68"/>
      <c r="B2" s="14"/>
      <c r="C2" s="14"/>
      <c r="D2" s="14"/>
      <c r="E2" s="14"/>
      <c r="F2" s="14"/>
      <c r="G2" s="13"/>
      <c r="H2" s="13"/>
      <c r="I2" s="27"/>
    </row>
    <row r="3" spans="1:10">
      <c r="A3" s="68"/>
      <c r="B3" s="785" t="s">
        <v>838</v>
      </c>
      <c r="C3" s="785"/>
      <c r="D3" s="785"/>
      <c r="E3" s="785"/>
      <c r="F3" s="785"/>
      <c r="G3" s="785"/>
      <c r="H3" s="66"/>
      <c r="I3" s="67"/>
    </row>
    <row r="4" spans="1:10">
      <c r="A4" s="68"/>
      <c r="B4" s="16"/>
      <c r="C4" s="17"/>
      <c r="D4" s="17"/>
      <c r="E4" s="17"/>
      <c r="F4" s="17"/>
      <c r="G4" s="14"/>
      <c r="H4" s="14"/>
      <c r="I4" s="27"/>
    </row>
    <row r="5" spans="1:10" ht="21.75" customHeight="1">
      <c r="A5" s="68"/>
      <c r="B5" s="643" t="s">
        <v>839</v>
      </c>
      <c r="C5" s="777" t="str">
        <f>CONCATENATE("Budget Tax Levy Amount for ",I1-2,"")</f>
        <v>Budget Tax Levy Amount for 2012</v>
      </c>
      <c r="D5" s="780" t="str">
        <f>CONCATENATE("Budget Tax Levy Rate for ",I1-1,"")</f>
        <v>Budget Tax Levy Rate for 2013</v>
      </c>
      <c r="E5" s="782" t="str">
        <f>CONCATENATE("Allocation for Year ",I1,"")</f>
        <v>Allocation for Year 2014</v>
      </c>
      <c r="F5" s="783"/>
      <c r="G5" s="784"/>
      <c r="H5" s="67"/>
      <c r="I5" s="67"/>
    </row>
    <row r="6" spans="1:10">
      <c r="A6" s="68"/>
      <c r="B6" s="12" t="str">
        <f>CONCATENATE("for ",I1-1,"")</f>
        <v>for 2013</v>
      </c>
      <c r="C6" s="757"/>
      <c r="D6" s="781"/>
      <c r="E6" s="216" t="s">
        <v>157</v>
      </c>
      <c r="F6" s="216" t="s">
        <v>239</v>
      </c>
      <c r="G6" s="192" t="s">
        <v>266</v>
      </c>
      <c r="H6" s="62"/>
      <c r="I6" s="67"/>
    </row>
    <row r="7" spans="1:10">
      <c r="A7" s="68"/>
      <c r="B7" s="25" t="str">
        <f>(inputPrYr!B16)</f>
        <v>General</v>
      </c>
      <c r="C7" s="192">
        <f>(inputPrYr!E16)</f>
        <v>7517904</v>
      </c>
      <c r="D7" s="646">
        <f>IF(inputPrYr!F16&gt;0,(inputPrYr!F16),"  ")</f>
        <v>31.97</v>
      </c>
      <c r="E7" s="192">
        <v>800683.86</v>
      </c>
      <c r="F7" s="192">
        <v>11326.32</v>
      </c>
      <c r="G7" s="192">
        <v>34581.089999999997</v>
      </c>
      <c r="H7" s="62"/>
      <c r="I7" s="67"/>
      <c r="J7" s="733"/>
    </row>
    <row r="8" spans="1:10">
      <c r="A8" s="68"/>
      <c r="B8" s="25" t="str">
        <f>(inputPrYr!B17)</f>
        <v>Debt Service</v>
      </c>
      <c r="C8" s="192" t="str">
        <f>IF(inputPrYr!E17&gt;0,inputPrYr!E17," ")</f>
        <v xml:space="preserve"> </v>
      </c>
      <c r="D8" s="646" t="str">
        <f>IF(inputPrYr!F17&gt;0,(inputPrYr!F17),"  ")</f>
        <v xml:space="preserve">  </v>
      </c>
      <c r="E8" s="192" t="str">
        <f>IF(inputPrYr!$E$17&gt;0,ROUND(+C8*E$41,0)," ")</f>
        <v xml:space="preserve"> </v>
      </c>
      <c r="F8" s="192" t="str">
        <f>IF(inputPrYr!$E$17&gt;0,ROUND(+C8*F$43,0)," ")</f>
        <v xml:space="preserve"> </v>
      </c>
      <c r="G8" s="192" t="str">
        <f>IF(inputPrYr!$E$17&gt;0,ROUND(+C8*G$45,0)," ")</f>
        <v xml:space="preserve"> </v>
      </c>
      <c r="H8" s="62"/>
      <c r="I8" s="67"/>
      <c r="J8" s="733"/>
    </row>
    <row r="9" spans="1:10">
      <c r="A9" s="68"/>
      <c r="B9" s="25" t="str">
        <f>(inputPrYr!B18)</f>
        <v>Road &amp; Bridge</v>
      </c>
      <c r="C9" s="192">
        <f>IF(inputPrYr!E18&gt;0,inputPrYr!E18," ")</f>
        <v>4330233</v>
      </c>
      <c r="D9" s="646">
        <f>IF(inputPrYr!F18&gt;0,(inputPrYr!F18),"  ")</f>
        <v>18.420000000000002</v>
      </c>
      <c r="E9" s="192">
        <v>458223.89</v>
      </c>
      <c r="F9" s="192">
        <v>6481.95</v>
      </c>
      <c r="G9" s="192">
        <v>19790.43</v>
      </c>
      <c r="H9" s="62"/>
      <c r="I9" s="67"/>
      <c r="J9" s="733"/>
    </row>
    <row r="10" spans="1:10">
      <c r="A10" s="68"/>
      <c r="B10" s="25" t="str">
        <f>IF((inputPrYr!$B19&gt;" "),(inputPrYr!$B19),"  ")</f>
        <v>Multi-year Cap Imp (17)</v>
      </c>
      <c r="C10" s="192">
        <f>IF(inputPrYr!E19&gt;0,inputPrYr!E19,"  ")</f>
        <v>894087</v>
      </c>
      <c r="D10" s="646">
        <f>IF(inputPrYr!F19&gt;0,(inputPrYr!F19),"  ")</f>
        <v>3.81</v>
      </c>
      <c r="E10" s="192">
        <v>71197.8</v>
      </c>
      <c r="F10" s="192">
        <v>1007.15</v>
      </c>
      <c r="G10" s="192">
        <v>3074.99</v>
      </c>
      <c r="H10" s="62"/>
      <c r="I10" s="67"/>
      <c r="J10" s="733"/>
    </row>
    <row r="11" spans="1:10">
      <c r="A11" s="68"/>
      <c r="B11" s="25" t="str">
        <f>IF((inputPrYr!$B20&gt;" "),(inputPrYr!$B20),"  ")</f>
        <v>Mental Health (23)</v>
      </c>
      <c r="C11" s="192">
        <f>IF(inputPrYr!E20&gt;0,inputPrYr!E20,"  ")</f>
        <v>233494</v>
      </c>
      <c r="D11" s="646">
        <f>IF(inputPrYr!F20&gt;0,(inputPrYr!F20),"  ")</f>
        <v>1</v>
      </c>
      <c r="E11" s="192">
        <v>41610.199999999997</v>
      </c>
      <c r="F11" s="192">
        <v>588.61</v>
      </c>
      <c r="G11" s="192">
        <v>1797.12</v>
      </c>
      <c r="H11" s="62"/>
      <c r="I11" s="67"/>
      <c r="J11" s="733"/>
    </row>
    <row r="12" spans="1:10">
      <c r="A12" s="68"/>
      <c r="B12" s="25" t="str">
        <f>IF((inputPrYr!$B21&gt;" "),(inputPrYr!$B21),"  ")</f>
        <v>Newman Hospital (25)</v>
      </c>
      <c r="C12" s="192">
        <f>IF(inputPrYr!E21&gt;0,inputPrYr!E21,"  ")</f>
        <v>400843</v>
      </c>
      <c r="D12" s="646">
        <f>IF(inputPrYr!F21&gt;0,(inputPrYr!F21),"  ")</f>
        <v>1.71</v>
      </c>
      <c r="E12" s="192">
        <v>56674.02</v>
      </c>
      <c r="F12" s="192">
        <v>801.7</v>
      </c>
      <c r="G12" s="192">
        <v>2447.7199999999998</v>
      </c>
      <c r="H12" s="62"/>
      <c r="I12" s="67"/>
      <c r="J12" s="733"/>
    </row>
    <row r="13" spans="1:10">
      <c r="A13" s="68"/>
      <c r="B13" s="25" t="str">
        <f>IF((inputPrYr!$B22&gt;" "),(inputPrYr!$B22),"  ")</f>
        <v>Noxious Weeds (26)</v>
      </c>
      <c r="C13" s="192">
        <f>IF(inputPrYr!E22&gt;0,inputPrYr!E22,"  ")</f>
        <v>157120</v>
      </c>
      <c r="D13" s="646">
        <f>IF(inputPrYr!F22&gt;0,(inputPrYr!F22),"  ")</f>
        <v>0.67</v>
      </c>
      <c r="E13" s="192">
        <v>10089.9</v>
      </c>
      <c r="F13" s="192">
        <v>142.72999999999999</v>
      </c>
      <c r="G13" s="192">
        <v>435.78</v>
      </c>
      <c r="H13" s="62"/>
      <c r="I13" s="67"/>
      <c r="J13" s="733"/>
    </row>
    <row r="14" spans="1:10">
      <c r="A14" s="68"/>
      <c r="B14" s="25" t="str">
        <f>IF((inputPrYr!$B23&gt;" "),(inputPrYr!$B23),"  ")</f>
        <v>Hetlinger Development (28)</v>
      </c>
      <c r="C14" s="192">
        <f>IF(inputPrYr!E23&gt;0,inputPrYr!E23,"  ")</f>
        <v>17556</v>
      </c>
      <c r="D14" s="646">
        <f>IF(inputPrYr!F23&gt;0,(inputPrYr!F23),"  ")</f>
        <v>7.4999999999999997E-2</v>
      </c>
      <c r="E14" s="192">
        <v>2216.94</v>
      </c>
      <c r="F14" s="192">
        <v>31.36</v>
      </c>
      <c r="G14" s="192">
        <v>95.75</v>
      </c>
      <c r="H14" s="62"/>
      <c r="I14" s="67"/>
      <c r="J14" s="733"/>
    </row>
    <row r="15" spans="1:10">
      <c r="A15" s="68"/>
      <c r="B15" s="25" t="str">
        <f>IF((inputPrYr!$B24&gt;" "),(inputPrYr!$B24),"  ")</f>
        <v>Special Bridge 1135 (33)</v>
      </c>
      <c r="C15" s="192">
        <f>IF(inputPrYr!E24&gt;0,inputPrYr!E24,"  ")</f>
        <v>467408</v>
      </c>
      <c r="D15" s="646">
        <f>IF(inputPrYr!F24&gt;0,(inputPrYr!F24),"  ")</f>
        <v>1.99</v>
      </c>
      <c r="E15" s="192">
        <v>69634.570000000007</v>
      </c>
      <c r="F15" s="192">
        <v>985.04</v>
      </c>
      <c r="G15" s="192">
        <v>3007.48</v>
      </c>
      <c r="H15" s="62"/>
      <c r="I15" s="67"/>
      <c r="J15" s="733"/>
    </row>
    <row r="16" spans="1:10">
      <c r="A16" s="68"/>
      <c r="B16" s="25" t="str">
        <f>IF((inputPrYr!$B25&gt;" "),(inputPrYr!$B25),"  ")</f>
        <v>Special R&amp;B 559A (41)</v>
      </c>
      <c r="C16" s="192">
        <f>IF(inputPrYr!E25&gt;0,inputPrYr!E25,"  ")</f>
        <v>329713</v>
      </c>
      <c r="D16" s="646">
        <f>IF(inputPrYr!F25&gt;0,(inputPrYr!F25),"  ")</f>
        <v>1.4019999999999999</v>
      </c>
      <c r="E16" s="192">
        <v>34675.18</v>
      </c>
      <c r="F16" s="192">
        <v>490.5</v>
      </c>
      <c r="G16" s="192">
        <v>1497.6</v>
      </c>
      <c r="H16" s="62"/>
      <c r="I16" s="67"/>
      <c r="J16" s="733"/>
    </row>
    <row r="17" spans="1:10">
      <c r="A17" s="68"/>
      <c r="B17" s="25" t="str">
        <f>IF((inputPrYr!$B26&gt;" "),(inputPrYr!$B26),"  ")</f>
        <v xml:space="preserve">Tort Liability (53) </v>
      </c>
      <c r="C17" s="192">
        <f>IF(inputPrYr!E26&gt;0,inputPrYr!E26,"  ")</f>
        <v>158595</v>
      </c>
      <c r="D17" s="646">
        <f>IF(inputPrYr!F26&gt;0,(inputPrYr!F26),"  ")</f>
        <v>0.67500000000000004</v>
      </c>
      <c r="E17" s="192">
        <v>23647.33</v>
      </c>
      <c r="F17" s="192">
        <v>334.52</v>
      </c>
      <c r="G17" s="192">
        <v>1021.31</v>
      </c>
      <c r="H17" s="62"/>
      <c r="I17" s="67"/>
      <c r="J17" s="733"/>
    </row>
    <row r="18" spans="1:10">
      <c r="A18" s="68"/>
      <c r="B18" s="25" t="str">
        <f>IF((inputPrYr!$B27&gt;" "),(inputPrYr!$B27),"  ")</f>
        <v>Health Department (66)</v>
      </c>
      <c r="C18" s="192">
        <f>IF(inputPrYr!E27&gt;0,inputPrYr!E27,"  ")</f>
        <v>528047</v>
      </c>
      <c r="D18" s="646">
        <f>IF(inputPrYr!F27&gt;0,(inputPrYr!F27),"  ")</f>
        <v>2.25</v>
      </c>
      <c r="E18" s="192">
        <v>60056.26</v>
      </c>
      <c r="F18" s="192">
        <v>849.54</v>
      </c>
      <c r="G18" s="192">
        <v>2593.8000000000002</v>
      </c>
      <c r="H18" s="62"/>
      <c r="I18" s="67"/>
      <c r="J18" s="733"/>
    </row>
    <row r="19" spans="1:10">
      <c r="A19" s="68"/>
      <c r="B19" s="25" t="str">
        <f>IF((inputPrYr!$B28&gt;" "),(inputPrYr!$B28),"  ")</f>
        <v>Bond &amp; Interest (50)</v>
      </c>
      <c r="C19" s="192" t="str">
        <f>IF(inputPrYr!E28&gt;0,inputPrYr!E28,"  ")</f>
        <v xml:space="preserve">  </v>
      </c>
      <c r="D19" s="646" t="str">
        <f>IF(inputPrYr!F28&gt;0,(inputPrYr!F28),"  ")</f>
        <v xml:space="preserve">  </v>
      </c>
      <c r="E19" s="192" t="str">
        <f>IF(inputPrYr!E28&gt;0,ROUND(+C19*E$41,0),"  ")</f>
        <v xml:space="preserve">  </v>
      </c>
      <c r="F19" s="192" t="str">
        <f>IF(inputPrYr!E28&gt;0,ROUND(+C19*F$43,0),"  ")</f>
        <v xml:space="preserve">  </v>
      </c>
      <c r="G19" s="192" t="str">
        <f>IF(inputPrYr!E28&gt;0,ROUND(+C19*G$45,0),"  ")</f>
        <v xml:space="preserve">  </v>
      </c>
      <c r="H19" s="62"/>
      <c r="I19" s="67"/>
      <c r="J19" s="733"/>
    </row>
    <row r="20" spans="1:10">
      <c r="A20" s="68"/>
      <c r="B20" s="25" t="str">
        <f>IF((inputPrYr!$B29&gt;" "),(inputPrYr!$B29),"  ")</f>
        <v>No Fund Warrant (51)</v>
      </c>
      <c r="C20" s="192" t="str">
        <f>IF(inputPrYr!E29&gt;0,inputPrYr!E29,"  ")</f>
        <v xml:space="preserve">  </v>
      </c>
      <c r="D20" s="646" t="str">
        <f>IF(inputPrYr!F29&gt;0,(inputPrYr!F29),"  ")</f>
        <v xml:space="preserve">  </v>
      </c>
      <c r="E20" s="192" t="str">
        <f>IF(inputPrYr!E29&gt;0,ROUND(+C20*E$41,0),"  ")</f>
        <v xml:space="preserve">  </v>
      </c>
      <c r="F20" s="192" t="str">
        <f>IF(inputPrYr!E29&gt;0,ROUND(+C20*F$43,0),"  ")</f>
        <v xml:space="preserve">  </v>
      </c>
      <c r="G20" s="192" t="str">
        <f>IF(inputPrYr!E29&gt;0,ROUND(+C20*G$45,0),"  ")</f>
        <v xml:space="preserve">  </v>
      </c>
      <c r="H20" s="62"/>
      <c r="I20" s="67"/>
      <c r="J20" s="733"/>
    </row>
    <row r="21" spans="1:10">
      <c r="A21" s="68"/>
      <c r="B21" s="25" t="str">
        <f>IF((inputPrYr!$B30&gt;" "),(inputPrYr!$B30),"  ")</f>
        <v xml:space="preserve">  </v>
      </c>
      <c r="C21" s="192" t="str">
        <f>IF(inputPrYr!E30&gt;0,inputPrYr!E30,"  ")</f>
        <v xml:space="preserve">  </v>
      </c>
      <c r="D21" s="646" t="str">
        <f>IF(inputPrYr!F30&gt;0,(inputPrYr!F30),"  ")</f>
        <v xml:space="preserve">  </v>
      </c>
      <c r="E21" s="192" t="str">
        <f>IF(inputPrYr!E30&gt;0,ROUND(+C21*E$41,0),"  ")</f>
        <v xml:space="preserve">  </v>
      </c>
      <c r="F21" s="192" t="str">
        <f>IF(inputPrYr!E30&gt;0,ROUND(+C21*F$43,0),"  ")</f>
        <v xml:space="preserve">  </v>
      </c>
      <c r="G21" s="192" t="str">
        <f>IF(inputPrYr!E30&gt;0,ROUND(+C21*G$45,0),"  ")</f>
        <v xml:space="preserve">  </v>
      </c>
      <c r="H21" s="62"/>
      <c r="I21" s="67"/>
      <c r="J21" s="733"/>
    </row>
    <row r="22" spans="1:10">
      <c r="A22" s="68"/>
      <c r="B22" s="25" t="str">
        <f>IF((inputPrYr!$B31&gt;" "),(inputPrYr!$B31),"  ")</f>
        <v xml:space="preserve">  </v>
      </c>
      <c r="C22" s="192" t="str">
        <f>IF(inputPrYr!E31&gt;0,inputPrYr!E31,"  ")</f>
        <v xml:space="preserve">  </v>
      </c>
      <c r="D22" s="646" t="str">
        <f>IF(inputPrYr!F31&gt;0,(inputPrYr!F31),"  ")</f>
        <v xml:space="preserve">  </v>
      </c>
      <c r="E22" s="192" t="str">
        <f>IF(inputPrYr!E31&gt;0,ROUND(+C22*E$41,0),"  ")</f>
        <v xml:space="preserve">  </v>
      </c>
      <c r="F22" s="192" t="str">
        <f>IF(inputPrYr!E31&gt;0,ROUND(+C22*F$43,0),"  ")</f>
        <v xml:space="preserve">  </v>
      </c>
      <c r="G22" s="192" t="str">
        <f>IF(inputPrYr!E31&gt;0,ROUND(+C22*G$45,0),"  ")</f>
        <v xml:space="preserve">  </v>
      </c>
      <c r="H22" s="62"/>
      <c r="I22" s="67"/>
      <c r="J22" s="733"/>
    </row>
    <row r="23" spans="1:10">
      <c r="A23" s="68"/>
      <c r="B23" s="25" t="str">
        <f>IF((inputPrYr!$B32&gt;" "),(inputPrYr!$B32),"  ")</f>
        <v xml:space="preserve">  </v>
      </c>
      <c r="C23" s="192" t="str">
        <f>IF(inputPrYr!E32&gt;0,inputPrYr!E32,"  ")</f>
        <v xml:space="preserve">  </v>
      </c>
      <c r="D23" s="646" t="str">
        <f>IF(inputPrYr!F32&gt;0,(inputPrYr!F32),"  ")</f>
        <v xml:space="preserve">  </v>
      </c>
      <c r="E23" s="192" t="str">
        <f>IF(inputPrYr!E32&gt;0,ROUND(+C23*E$41,0),"  ")</f>
        <v xml:space="preserve">  </v>
      </c>
      <c r="F23" s="192" t="str">
        <f>IF(inputPrYr!E32&gt;0,ROUND(+C23*F$43,0),"  ")</f>
        <v xml:space="preserve">  </v>
      </c>
      <c r="G23" s="192" t="str">
        <f>IF(inputPrYr!E32&gt;0,ROUND(+C23*G$45,0),"  ")</f>
        <v xml:space="preserve">  </v>
      </c>
      <c r="H23" s="62"/>
      <c r="I23" s="67"/>
      <c r="J23" s="733"/>
    </row>
    <row r="24" spans="1:10">
      <c r="A24" s="68"/>
      <c r="B24" s="25" t="str">
        <f>IF((inputPrYr!$B33&gt;" "),(inputPrYr!$B33),"  ")</f>
        <v xml:space="preserve">  </v>
      </c>
      <c r="C24" s="192" t="str">
        <f>IF(inputPrYr!E33&gt;0,inputPrYr!E33,"  ")</f>
        <v xml:space="preserve">  </v>
      </c>
      <c r="D24" s="646" t="str">
        <f>IF(inputPrYr!F33&gt;0,(inputPrYr!F33),"  ")</f>
        <v xml:space="preserve">  </v>
      </c>
      <c r="E24" s="192" t="str">
        <f>IF(inputPrYr!E33&gt;0,ROUND(+C24*E$41,0),"  ")</f>
        <v xml:space="preserve">  </v>
      </c>
      <c r="F24" s="192" t="str">
        <f>IF(inputPrYr!E33&gt;0,ROUND(+C24*F$43,0),"  ")</f>
        <v xml:space="preserve">  </v>
      </c>
      <c r="G24" s="192" t="str">
        <f>IF(inputPrYr!E33&gt;0,ROUND(+C24*G$45,0),"  ")</f>
        <v xml:space="preserve">  </v>
      </c>
      <c r="H24" s="62"/>
      <c r="I24" s="67"/>
    </row>
    <row r="25" spans="1:10">
      <c r="A25" s="68"/>
      <c r="B25" s="25" t="str">
        <f>IF((inputPrYr!$B34&gt;" "),(inputPrYr!$B34),"  ")</f>
        <v xml:space="preserve">  </v>
      </c>
      <c r="C25" s="192" t="str">
        <f>IF(inputPrYr!E34&gt;0,inputPrYr!E34,"  ")</f>
        <v xml:space="preserve">  </v>
      </c>
      <c r="D25" s="646" t="str">
        <f>IF(inputPrYr!F34&gt;0,(inputPrYr!F34),"  ")</f>
        <v xml:space="preserve">  </v>
      </c>
      <c r="E25" s="192" t="str">
        <f>IF(inputPrYr!E34&gt;0,ROUND(+C25*E$41,0),"  ")</f>
        <v xml:space="preserve">  </v>
      </c>
      <c r="F25" s="192" t="str">
        <f>IF(inputPrYr!E34&gt;0,ROUND(+C25*F$43,0),"  ")</f>
        <v xml:space="preserve">  </v>
      </c>
      <c r="G25" s="192" t="str">
        <f>IF(inputPrYr!E34&gt;0,ROUND(+C25*G$45,0),"  ")</f>
        <v xml:space="preserve">  </v>
      </c>
      <c r="H25" s="62"/>
      <c r="I25" s="67"/>
    </row>
    <row r="26" spans="1:10">
      <c r="A26" s="68"/>
      <c r="B26" s="25" t="str">
        <f>IF((inputPrYr!$B35&gt;" "),(inputPrYr!$B35),"  ")</f>
        <v xml:space="preserve">  </v>
      </c>
      <c r="C26" s="192" t="str">
        <f>IF(inputPrYr!E35&gt;0,inputPrYr!E35,"  ")</f>
        <v xml:space="preserve">  </v>
      </c>
      <c r="D26" s="646" t="str">
        <f>IF(inputPrYr!F35&gt;0,(inputPrYr!F35),"  ")</f>
        <v xml:space="preserve">  </v>
      </c>
      <c r="E26" s="192" t="str">
        <f>IF(inputPrYr!E35&gt;0,ROUND(+C26*E$41,0),"  ")</f>
        <v xml:space="preserve">  </v>
      </c>
      <c r="F26" s="192" t="str">
        <f>IF(inputPrYr!E35&gt;0,ROUND(+C26*F$43,0),"  ")</f>
        <v xml:space="preserve">  </v>
      </c>
      <c r="G26" s="192" t="str">
        <f>IF(inputPrYr!E35&gt;0,ROUND(+C26*G$45,0),"  ")</f>
        <v xml:space="preserve">  </v>
      </c>
      <c r="H26" s="62"/>
      <c r="I26" s="67"/>
    </row>
    <row r="27" spans="1:10">
      <c r="A27" s="68"/>
      <c r="B27" s="25" t="str">
        <f>IF((inputPrYr!$B36&gt;" "),(inputPrYr!$B36),"  ")</f>
        <v xml:space="preserve">  </v>
      </c>
      <c r="C27" s="192" t="str">
        <f>IF(inputPrYr!E36&gt;0,inputPrYr!E36,"  ")</f>
        <v xml:space="preserve">  </v>
      </c>
      <c r="D27" s="646" t="str">
        <f>IF(inputPrYr!F36&gt;0,(inputPrYr!F36),"  ")</f>
        <v xml:space="preserve">  </v>
      </c>
      <c r="E27" s="192" t="str">
        <f>IF(inputPrYr!E36&gt;0,ROUND(+C27*E$41,0),"  ")</f>
        <v xml:space="preserve">  </v>
      </c>
      <c r="F27" s="192" t="str">
        <f>IF(inputPrYr!E36&gt;0,ROUND(+C27*F$43,0),"  ")</f>
        <v xml:space="preserve">  </v>
      </c>
      <c r="G27" s="192" t="str">
        <f>IF(inputPrYr!E36&gt;0,ROUND(+C27*G$45,0),"  ")</f>
        <v xml:space="preserve">  </v>
      </c>
      <c r="H27" s="62"/>
      <c r="I27" s="67"/>
    </row>
    <row r="28" spans="1:10">
      <c r="A28" s="68"/>
      <c r="B28" s="25" t="str">
        <f>IF((inputPrYr!$B37&gt;" "),(inputPrYr!$B37),"  ")</f>
        <v xml:space="preserve">  </v>
      </c>
      <c r="C28" s="192" t="str">
        <f>IF(inputPrYr!E37&gt;0,inputPrYr!E37,"  ")</f>
        <v xml:space="preserve">  </v>
      </c>
      <c r="D28" s="646" t="str">
        <f>IF(inputPrYr!F37&gt;0,(inputPrYr!F37),"  ")</f>
        <v xml:space="preserve">  </v>
      </c>
      <c r="E28" s="192" t="str">
        <f>IF(inputPrYr!E37&gt;0,ROUND(+C28*E$41,0),"  ")</f>
        <v xml:space="preserve">  </v>
      </c>
      <c r="F28" s="192" t="str">
        <f>IF(inputPrYr!E37&gt;0,ROUND(+C28*F$43,0),"  ")</f>
        <v xml:space="preserve">  </v>
      </c>
      <c r="G28" s="192" t="str">
        <f>IF(inputPrYr!E37&gt;0,ROUND(+C28*G$45,0),"  ")</f>
        <v xml:space="preserve">  </v>
      </c>
      <c r="H28" s="62"/>
      <c r="I28" s="67"/>
    </row>
    <row r="29" spans="1:10">
      <c r="A29" s="68"/>
      <c r="B29" s="25" t="str">
        <f>IF((inputPrYr!$B38&gt;" "),(inputPrYr!$B38),"  ")</f>
        <v xml:space="preserve">  </v>
      </c>
      <c r="C29" s="192" t="str">
        <f>IF(inputPrYr!E38&gt;0,inputPrYr!E38,"  ")</f>
        <v xml:space="preserve">  </v>
      </c>
      <c r="D29" s="646" t="str">
        <f>IF(inputPrYr!F38&gt;0,(inputPrYr!F38),"  ")</f>
        <v xml:space="preserve">  </v>
      </c>
      <c r="E29" s="192" t="str">
        <f>IF(inputPrYr!E38&gt;0,ROUND(+C29*E$41,0),"  ")</f>
        <v xml:space="preserve">  </v>
      </c>
      <c r="F29" s="192" t="str">
        <f>IF(inputPrYr!E38&gt;0,ROUND(+C29*F$43,0),"  ")</f>
        <v xml:space="preserve">  </v>
      </c>
      <c r="G29" s="192" t="str">
        <f>IF(inputPrYr!E38&gt;0,ROUND(+C29*G$45,0),"  ")</f>
        <v xml:space="preserve">  </v>
      </c>
      <c r="H29" s="62"/>
      <c r="I29" s="67"/>
    </row>
    <row r="30" spans="1:10">
      <c r="A30" s="68"/>
      <c r="B30" s="25" t="str">
        <f>IF((inputPrYr!$B39&gt;" "),(inputPrYr!$B39),"  ")</f>
        <v xml:space="preserve">  </v>
      </c>
      <c r="C30" s="192" t="str">
        <f>IF(inputPrYr!E39&gt;0,inputPrYr!E39,"  ")</f>
        <v xml:space="preserve">  </v>
      </c>
      <c r="D30" s="646" t="str">
        <f>IF(inputPrYr!F39&gt;0,(inputPrYr!F39),"  ")</f>
        <v xml:space="preserve">  </v>
      </c>
      <c r="E30" s="192" t="str">
        <f>IF(inputPrYr!E39&gt;0,ROUND(+C30*E$41,0),"  ")</f>
        <v xml:space="preserve">  </v>
      </c>
      <c r="F30" s="192" t="str">
        <f>IF(inputPrYr!E39&gt;0,ROUND(+C30*F$43,0),"  ")</f>
        <v xml:space="preserve">  </v>
      </c>
      <c r="G30" s="192" t="str">
        <f>IF(inputPrYr!E39&gt;0,ROUND(+C30*G$45,0),"  ")</f>
        <v xml:space="preserve">  </v>
      </c>
      <c r="H30" s="62"/>
      <c r="I30" s="67"/>
    </row>
    <row r="31" spans="1:10">
      <c r="A31" s="68"/>
      <c r="B31" s="25" t="str">
        <f>IF((inputPrYr!$B40&gt;" "),(inputPrYr!$B40),"  ")</f>
        <v xml:space="preserve">  </v>
      </c>
      <c r="C31" s="192" t="str">
        <f>IF(inputPrYr!E40&gt;0,inputPrYr!E40,"  ")</f>
        <v xml:space="preserve">  </v>
      </c>
      <c r="D31" s="646" t="str">
        <f>IF(inputPrYr!F40&gt;0,(inputPrYr!F40),"  ")</f>
        <v xml:space="preserve">  </v>
      </c>
      <c r="E31" s="192" t="str">
        <f>IF(inputPrYr!E40&gt;0,ROUND(+C31*E$41,0),"  ")</f>
        <v xml:space="preserve">  </v>
      </c>
      <c r="F31" s="192" t="str">
        <f>IF(inputPrYr!E40&gt;0,ROUND(+C31*F$43,0),"  ")</f>
        <v xml:space="preserve">  </v>
      </c>
      <c r="G31" s="192" t="str">
        <f>IF(inputPrYr!E40&gt;0,ROUND(+C31*G$45,0),"  ")</f>
        <v xml:space="preserve">  </v>
      </c>
      <c r="H31" s="62"/>
      <c r="I31" s="67"/>
    </row>
    <row r="32" spans="1:10" ht="16.5" thickBot="1">
      <c r="A32" s="68"/>
      <c r="B32" s="102" t="s">
        <v>153</v>
      </c>
      <c r="C32" s="644">
        <f>SUM(C7:C31)</f>
        <v>15035000</v>
      </c>
      <c r="D32" s="645">
        <f>SUM(D7:D31)</f>
        <v>63.972000000000008</v>
      </c>
      <c r="E32" s="644">
        <f>SUM(E7:E31)</f>
        <v>1628709.95</v>
      </c>
      <c r="F32" s="644">
        <f>SUM(F7:F31)</f>
        <v>23039.420000000006</v>
      </c>
      <c r="G32" s="644">
        <f>SUM(G7:G31)</f>
        <v>70343.070000000007</v>
      </c>
      <c r="H32" s="67"/>
      <c r="I32" s="67"/>
    </row>
    <row r="33" spans="1:9" ht="16.5" thickTop="1">
      <c r="A33" s="68"/>
      <c r="B33" s="51"/>
      <c r="C33" s="62"/>
      <c r="D33" s="69"/>
      <c r="E33" s="62"/>
      <c r="F33" s="62"/>
      <c r="G33" s="62"/>
      <c r="H33" s="62"/>
      <c r="I33" s="67"/>
    </row>
    <row r="34" spans="1:9">
      <c r="A34" s="68"/>
      <c r="B34" s="15" t="s">
        <v>154</v>
      </c>
      <c r="C34" s="60"/>
      <c r="D34" s="60"/>
      <c r="E34" s="61">
        <f>(inputOth!E15)</f>
        <v>1684542</v>
      </c>
      <c r="F34" s="60"/>
      <c r="G34" s="29"/>
      <c r="H34" s="29"/>
      <c r="I34" s="52"/>
    </row>
    <row r="35" spans="1:9">
      <c r="A35" s="68"/>
      <c r="B35" s="15"/>
      <c r="C35" s="60"/>
      <c r="D35" s="60"/>
      <c r="E35" s="62"/>
      <c r="F35" s="60"/>
      <c r="G35" s="29"/>
      <c r="H35" s="29"/>
      <c r="I35" s="52"/>
    </row>
    <row r="36" spans="1:9">
      <c r="A36" s="68"/>
      <c r="B36" s="15" t="s">
        <v>155</v>
      </c>
      <c r="C36" s="29"/>
      <c r="D36" s="29"/>
      <c r="E36" s="29"/>
      <c r="F36" s="61">
        <f>(inputOth!E16)</f>
        <v>24343.57</v>
      </c>
      <c r="G36" s="29"/>
      <c r="H36" s="29"/>
      <c r="I36" s="52"/>
    </row>
    <row r="37" spans="1:9">
      <c r="A37" s="68"/>
      <c r="B37" s="15"/>
      <c r="C37" s="29"/>
      <c r="D37" s="29"/>
      <c r="E37" s="29"/>
      <c r="F37" s="62"/>
      <c r="G37" s="29"/>
      <c r="H37" s="29"/>
      <c r="I37" s="52"/>
    </row>
    <row r="38" spans="1:9">
      <c r="A38" s="68"/>
      <c r="B38" s="15" t="s">
        <v>240</v>
      </c>
      <c r="C38" s="29"/>
      <c r="D38" s="29"/>
      <c r="E38" s="29"/>
      <c r="F38" s="29"/>
      <c r="G38" s="61">
        <f>inputOth!E17</f>
        <v>76589.73</v>
      </c>
      <c r="H38" s="62"/>
      <c r="I38" s="52"/>
    </row>
    <row r="39" spans="1:9">
      <c r="A39" s="68"/>
      <c r="B39" s="14"/>
      <c r="C39" s="29"/>
      <c r="D39" s="29"/>
      <c r="E39" s="29"/>
      <c r="F39" s="29"/>
      <c r="G39" s="29"/>
      <c r="H39" s="29"/>
      <c r="I39" s="52"/>
    </row>
    <row r="40" spans="1:9">
      <c r="A40" s="68"/>
      <c r="B40" s="14"/>
      <c r="C40" s="29"/>
      <c r="D40" s="29"/>
      <c r="E40" s="29"/>
      <c r="F40" s="29"/>
      <c r="G40" s="29"/>
      <c r="H40" s="29"/>
      <c r="I40" s="52"/>
    </row>
    <row r="41" spans="1:9">
      <c r="A41" s="68"/>
      <c r="B41" s="15" t="s">
        <v>156</v>
      </c>
      <c r="C41" s="29"/>
      <c r="D41" s="29"/>
      <c r="E41" s="63">
        <f>IF(C32=0,0,E34/C32)</f>
        <v>0.11204137013634852</v>
      </c>
      <c r="F41" s="29"/>
      <c r="G41" s="29"/>
      <c r="H41" s="29"/>
      <c r="I41" s="52"/>
    </row>
    <row r="42" spans="1:9">
      <c r="A42" s="68"/>
      <c r="B42" s="15"/>
      <c r="C42" s="29"/>
      <c r="D42" s="29"/>
      <c r="E42" s="64"/>
      <c r="F42" s="29"/>
      <c r="G42" s="29"/>
      <c r="H42" s="29"/>
      <c r="I42" s="52"/>
    </row>
    <row r="43" spans="1:9">
      <c r="A43" s="68"/>
      <c r="B43" s="15" t="s">
        <v>305</v>
      </c>
      <c r="C43" s="29"/>
      <c r="D43" s="29"/>
      <c r="E43" s="29"/>
      <c r="F43" s="63">
        <f>IF(C32=0,0,F36/C32)</f>
        <v>1.6191267043565015E-3</v>
      </c>
      <c r="G43" s="29"/>
      <c r="H43" s="29"/>
      <c r="I43" s="52"/>
    </row>
    <row r="44" spans="1:9">
      <c r="A44" s="68"/>
      <c r="B44" s="15"/>
      <c r="C44" s="29"/>
      <c r="D44" s="29"/>
      <c r="E44" s="29"/>
      <c r="F44" s="64"/>
      <c r="G44" s="29"/>
      <c r="H44" s="29"/>
      <c r="I44" s="52"/>
    </row>
    <row r="45" spans="1:9">
      <c r="A45" s="68"/>
      <c r="B45" s="15" t="s">
        <v>304</v>
      </c>
      <c r="C45" s="29"/>
      <c r="D45" s="29"/>
      <c r="E45" s="29"/>
      <c r="F45" s="29"/>
      <c r="G45" s="63">
        <f>IF(C32=0,0,G38/C32)</f>
        <v>5.0940957765214494E-3</v>
      </c>
      <c r="H45" s="64"/>
      <c r="I45" s="52"/>
    </row>
    <row r="46" spans="1:9">
      <c r="A46" s="68"/>
      <c r="B46" s="27"/>
      <c r="C46" s="52"/>
      <c r="D46" s="52"/>
      <c r="E46" s="52"/>
      <c r="F46" s="52"/>
      <c r="G46" s="52"/>
      <c r="H46" s="52"/>
      <c r="I46" s="52"/>
    </row>
    <row r="47" spans="1:9">
      <c r="A47" s="68"/>
      <c r="B47" s="27"/>
      <c r="C47" s="52"/>
      <c r="D47" s="52"/>
      <c r="E47" s="52"/>
      <c r="F47" s="52"/>
      <c r="G47" s="52"/>
      <c r="H47" s="52"/>
      <c r="I47" s="52"/>
    </row>
  </sheetData>
  <mergeCells count="4">
    <mergeCell ref="C5:C6"/>
    <mergeCell ref="D5:D6"/>
    <mergeCell ref="E5:G5"/>
    <mergeCell ref="B3:G3"/>
  </mergeCells>
  <phoneticPr fontId="8" type="noConversion"/>
  <pageMargins left="1.5" right="0.75" top="0.25" bottom="0.18" header="0" footer="0"/>
  <pageSetup scale="78" firstPageNumber="3" orientation="landscape" blackAndWhite="1" useFirstPageNumber="1" r:id="rId1"/>
  <headerFooter alignWithMargins="0">
    <oddHeader>&amp;RState of Kansas
County</oddHeader>
    <oddFooter>&amp;CPage No. 3</oddFooter>
  </headerFooter>
</worksheet>
</file>

<file path=xl/worksheets/sheet9.xml><?xml version="1.0" encoding="utf-8"?>
<worksheet xmlns="http://schemas.openxmlformats.org/spreadsheetml/2006/main" xmlns:r="http://schemas.openxmlformats.org/officeDocument/2006/relationships">
  <sheetPr codeName="Sheet7">
    <pageSetUpPr fitToPage="1"/>
  </sheetPr>
  <dimension ref="A1:G32"/>
  <sheetViews>
    <sheetView workbookViewId="0">
      <selection activeCell="D20" sqref="D20"/>
    </sheetView>
  </sheetViews>
  <sheetFormatPr defaultRowHeight="15.75"/>
  <cols>
    <col min="1" max="2" width="17.77734375" style="142" customWidth="1"/>
    <col min="3" max="6" width="12.77734375" style="142" customWidth="1"/>
    <col min="7" max="16384" width="8.88671875" style="142"/>
  </cols>
  <sheetData>
    <row r="1" spans="1:7">
      <c r="A1" s="226"/>
      <c r="B1" s="84"/>
      <c r="C1" s="84"/>
      <c r="D1" s="84"/>
      <c r="E1" s="238"/>
      <c r="F1" s="84"/>
    </row>
    <row r="2" spans="1:7">
      <c r="A2" s="143" t="str">
        <f>inputPrYr!C2</f>
        <v>Lyon County</v>
      </c>
      <c r="B2" s="143"/>
      <c r="C2" s="84"/>
      <c r="D2" s="84"/>
      <c r="E2" s="238"/>
      <c r="F2" s="84">
        <f>inputPrYr!C4</f>
        <v>2014</v>
      </c>
    </row>
    <row r="3" spans="1:7">
      <c r="A3" s="226"/>
      <c r="B3" s="143"/>
      <c r="C3" s="84"/>
      <c r="D3" s="84"/>
      <c r="E3" s="238"/>
      <c r="F3" s="84"/>
    </row>
    <row r="4" spans="1:7">
      <c r="A4" s="226"/>
      <c r="B4" s="84"/>
      <c r="C4" s="84"/>
      <c r="D4" s="84"/>
      <c r="E4" s="238"/>
      <c r="F4" s="84"/>
    </row>
    <row r="5" spans="1:7" ht="15" customHeight="1">
      <c r="A5" s="779" t="s">
        <v>283</v>
      </c>
      <c r="B5" s="779"/>
      <c r="C5" s="779"/>
      <c r="D5" s="779"/>
      <c r="E5" s="779"/>
      <c r="F5" s="779"/>
    </row>
    <row r="6" spans="1:7" ht="14.25" customHeight="1">
      <c r="A6" s="227"/>
      <c r="B6" s="239"/>
      <c r="C6" s="239"/>
      <c r="D6" s="239"/>
      <c r="E6" s="239"/>
      <c r="F6" s="239"/>
    </row>
    <row r="7" spans="1:7" ht="15" customHeight="1">
      <c r="A7" s="240" t="s">
        <v>660</v>
      </c>
      <c r="B7" s="240" t="s">
        <v>661</v>
      </c>
      <c r="C7" s="241" t="s">
        <v>190</v>
      </c>
      <c r="D7" s="241" t="s">
        <v>306</v>
      </c>
      <c r="E7" s="241" t="s">
        <v>307</v>
      </c>
      <c r="F7" s="241" t="s">
        <v>340</v>
      </c>
    </row>
    <row r="8" spans="1:7" ht="15" customHeight="1">
      <c r="A8" s="242" t="s">
        <v>662</v>
      </c>
      <c r="B8" s="242" t="s">
        <v>663</v>
      </c>
      <c r="C8" s="243" t="s">
        <v>339</v>
      </c>
      <c r="D8" s="243" t="s">
        <v>339</v>
      </c>
      <c r="E8" s="243" t="s">
        <v>339</v>
      </c>
      <c r="F8" s="243" t="s">
        <v>341</v>
      </c>
    </row>
    <row r="9" spans="1:7" s="224" customFormat="1" ht="15" customHeight="1" thickBot="1">
      <c r="A9" s="244" t="s">
        <v>337</v>
      </c>
      <c r="B9" s="245" t="s">
        <v>338</v>
      </c>
      <c r="C9" s="246">
        <f>F2-2</f>
        <v>2012</v>
      </c>
      <c r="D9" s="246">
        <f>F2-1</f>
        <v>2013</v>
      </c>
      <c r="E9" s="246">
        <f>F2</f>
        <v>2014</v>
      </c>
      <c r="F9" s="245" t="s">
        <v>130</v>
      </c>
    </row>
    <row r="10" spans="1:7" ht="15" customHeight="1" thickTop="1">
      <c r="A10" s="247" t="s">
        <v>1073</v>
      </c>
      <c r="B10" s="247" t="s">
        <v>131</v>
      </c>
      <c r="C10" s="248">
        <v>43000</v>
      </c>
      <c r="D10" s="248">
        <v>45000</v>
      </c>
      <c r="E10" s="248">
        <v>45000</v>
      </c>
      <c r="F10" s="247" t="s">
        <v>1083</v>
      </c>
    </row>
    <row r="11" spans="1:7" ht="15" customHeight="1">
      <c r="A11" s="110" t="s">
        <v>1074</v>
      </c>
      <c r="B11" s="110" t="s">
        <v>131</v>
      </c>
      <c r="C11" s="249">
        <v>19613</v>
      </c>
      <c r="D11" s="249">
        <v>0</v>
      </c>
      <c r="E11" s="249"/>
      <c r="F11" s="110" t="s">
        <v>1084</v>
      </c>
    </row>
    <row r="12" spans="1:7" ht="15" customHeight="1">
      <c r="A12" s="110" t="s">
        <v>131</v>
      </c>
      <c r="B12" s="110" t="s">
        <v>1073</v>
      </c>
      <c r="C12" s="249">
        <v>43000</v>
      </c>
      <c r="D12" s="249">
        <v>45000</v>
      </c>
      <c r="E12" s="249">
        <v>45000</v>
      </c>
      <c r="F12" s="110" t="s">
        <v>1083</v>
      </c>
      <c r="G12" s="737"/>
    </row>
    <row r="13" spans="1:7" ht="15" customHeight="1">
      <c r="A13" s="110" t="s">
        <v>131</v>
      </c>
      <c r="B13" s="110" t="s">
        <v>1075</v>
      </c>
      <c r="C13" s="249"/>
      <c r="D13" s="249"/>
      <c r="E13" s="249"/>
      <c r="F13" s="110" t="s">
        <v>1083</v>
      </c>
      <c r="G13" s="737"/>
    </row>
    <row r="14" spans="1:7" ht="15" customHeight="1">
      <c r="A14" s="110" t="s">
        <v>1075</v>
      </c>
      <c r="B14" s="110" t="s">
        <v>131</v>
      </c>
      <c r="C14" s="249"/>
      <c r="D14" s="249"/>
      <c r="E14" s="249"/>
      <c r="F14" s="110" t="s">
        <v>1083</v>
      </c>
      <c r="G14" s="737"/>
    </row>
    <row r="15" spans="1:7" ht="15" customHeight="1">
      <c r="A15" s="736" t="s">
        <v>1076</v>
      </c>
      <c r="B15" s="736" t="s">
        <v>1076</v>
      </c>
      <c r="C15" s="249"/>
      <c r="D15" s="249"/>
      <c r="E15" s="249"/>
      <c r="F15" s="110" t="s">
        <v>1083</v>
      </c>
      <c r="G15" s="737"/>
    </row>
    <row r="16" spans="1:7" ht="15" customHeight="1">
      <c r="A16" s="110" t="s">
        <v>131</v>
      </c>
      <c r="B16" s="110" t="s">
        <v>1091</v>
      </c>
      <c r="C16" s="249"/>
      <c r="D16" s="249"/>
      <c r="E16" s="249"/>
      <c r="F16" s="110" t="s">
        <v>1083</v>
      </c>
      <c r="G16" s="737"/>
    </row>
    <row r="17" spans="1:7" ht="15" customHeight="1">
      <c r="A17" s="110" t="s">
        <v>1077</v>
      </c>
      <c r="B17" s="736" t="s">
        <v>1076</v>
      </c>
      <c r="C17" s="249"/>
      <c r="D17" s="249"/>
      <c r="E17" s="249"/>
      <c r="F17" s="110" t="s">
        <v>1083</v>
      </c>
      <c r="G17" s="737"/>
    </row>
    <row r="18" spans="1:7" ht="15" customHeight="1">
      <c r="A18" s="110" t="s">
        <v>1077</v>
      </c>
      <c r="B18" s="736" t="s">
        <v>1078</v>
      </c>
      <c r="C18" s="249"/>
      <c r="D18" s="249"/>
      <c r="E18" s="249"/>
      <c r="F18" s="110" t="s">
        <v>1083</v>
      </c>
      <c r="G18" s="737"/>
    </row>
    <row r="19" spans="1:7" ht="15" customHeight="1">
      <c r="A19" s="110" t="s">
        <v>1079</v>
      </c>
      <c r="B19" s="736" t="s">
        <v>1076</v>
      </c>
      <c r="C19" s="249"/>
      <c r="D19" s="249"/>
      <c r="E19" s="249"/>
      <c r="F19" s="110" t="s">
        <v>1083</v>
      </c>
      <c r="G19" s="737"/>
    </row>
    <row r="20" spans="1:7" ht="15" customHeight="1">
      <c r="A20" s="736" t="s">
        <v>1078</v>
      </c>
      <c r="B20" s="736" t="s">
        <v>1076</v>
      </c>
      <c r="C20" s="249"/>
      <c r="D20" s="249"/>
      <c r="E20" s="249"/>
      <c r="F20" s="110" t="s">
        <v>1083</v>
      </c>
      <c r="G20" s="737"/>
    </row>
    <row r="21" spans="1:7" ht="15" customHeight="1">
      <c r="A21" s="736" t="s">
        <v>1078</v>
      </c>
      <c r="B21" s="110" t="s">
        <v>1080</v>
      </c>
      <c r="C21" s="249"/>
      <c r="D21" s="249"/>
      <c r="E21" s="249"/>
      <c r="F21" s="110" t="s">
        <v>1083</v>
      </c>
      <c r="G21" s="737"/>
    </row>
    <row r="22" spans="1:7" ht="15" customHeight="1">
      <c r="A22" s="736" t="s">
        <v>1078</v>
      </c>
      <c r="B22" s="110" t="s">
        <v>131</v>
      </c>
      <c r="C22" s="249"/>
      <c r="D22" s="249"/>
      <c r="E22" s="249"/>
      <c r="F22" s="110" t="s">
        <v>1083</v>
      </c>
      <c r="G22" s="737"/>
    </row>
    <row r="23" spans="1:7" ht="15" customHeight="1">
      <c r="A23" s="110" t="s">
        <v>1081</v>
      </c>
      <c r="B23" s="110" t="s">
        <v>1082</v>
      </c>
      <c r="C23" s="249">
        <v>16000</v>
      </c>
      <c r="D23" s="249"/>
      <c r="E23" s="249"/>
      <c r="F23" s="110" t="s">
        <v>1083</v>
      </c>
      <c r="G23" s="737"/>
    </row>
    <row r="24" spans="1:7" ht="15" customHeight="1">
      <c r="A24" s="110" t="s">
        <v>131</v>
      </c>
      <c r="B24" s="110" t="s">
        <v>1080</v>
      </c>
      <c r="C24" s="249">
        <v>167000</v>
      </c>
      <c r="D24" s="249"/>
      <c r="E24" s="249"/>
      <c r="F24" s="110" t="s">
        <v>1085</v>
      </c>
      <c r="G24" s="737"/>
    </row>
    <row r="25" spans="1:7" ht="15" customHeight="1">
      <c r="A25" s="110" t="s">
        <v>1080</v>
      </c>
      <c r="B25" s="110" t="s">
        <v>131</v>
      </c>
      <c r="C25" s="249">
        <v>167000</v>
      </c>
      <c r="D25" s="249"/>
      <c r="E25" s="249"/>
      <c r="F25" s="110" t="s">
        <v>1083</v>
      </c>
    </row>
    <row r="26" spans="1:7" ht="15" customHeight="1">
      <c r="A26" s="110" t="s">
        <v>1100</v>
      </c>
      <c r="B26" s="110" t="s">
        <v>131</v>
      </c>
      <c r="C26" s="249"/>
      <c r="D26" s="249"/>
      <c r="E26" s="249">
        <v>4</v>
      </c>
      <c r="F26" s="110" t="s">
        <v>1101</v>
      </c>
    </row>
    <row r="27" spans="1:7">
      <c r="A27" s="136"/>
      <c r="B27" s="250" t="s">
        <v>132</v>
      </c>
      <c r="C27" s="119">
        <f>SUM(C10:C26)</f>
        <v>455613</v>
      </c>
      <c r="D27" s="119">
        <f>SUM(D10:D26)</f>
        <v>90000</v>
      </c>
      <c r="E27" s="119">
        <f>SUM(E10:E26)</f>
        <v>90004</v>
      </c>
      <c r="F27" s="136"/>
    </row>
    <row r="28" spans="1:7">
      <c r="A28" s="136"/>
      <c r="B28" s="251" t="s">
        <v>658</v>
      </c>
      <c r="C28" s="103"/>
      <c r="D28" s="104">
        <v>16000</v>
      </c>
      <c r="E28" s="104"/>
      <c r="F28" s="136"/>
    </row>
    <row r="29" spans="1:7">
      <c r="A29" s="136"/>
      <c r="B29" s="250" t="s">
        <v>342</v>
      </c>
      <c r="C29" s="119">
        <f>C27</f>
        <v>455613</v>
      </c>
      <c r="D29" s="119">
        <f>SUM(D27-D28)</f>
        <v>74000</v>
      </c>
      <c r="E29" s="119">
        <f>SUM(E27-E28)</f>
        <v>90004</v>
      </c>
      <c r="F29" s="136"/>
    </row>
    <row r="30" spans="1:7">
      <c r="A30" s="136"/>
      <c r="B30" s="136"/>
      <c r="C30" s="136"/>
      <c r="D30" s="136"/>
      <c r="E30" s="136"/>
      <c r="F30" s="136"/>
    </row>
    <row r="31" spans="1:7">
      <c r="A31" s="136"/>
      <c r="B31" s="136"/>
      <c r="C31" s="136"/>
      <c r="D31" s="136"/>
      <c r="E31" s="136"/>
      <c r="F31" s="136"/>
    </row>
    <row r="32" spans="1:7">
      <c r="A32" s="443" t="s">
        <v>659</v>
      </c>
      <c r="B32" s="444" t="str">
        <f>CONCATENATE("Adjustments are required only if the transfer is being made in ",D9," and/or ",E9," from a non-budgeted fund.")</f>
        <v>Adjustments are required only if the transfer is being made in 2013 and/or 2014 from a non-budgeted fund.</v>
      </c>
      <c r="C32" s="136"/>
      <c r="D32" s="136"/>
      <c r="E32" s="136"/>
      <c r="F32" s="136"/>
    </row>
  </sheetData>
  <mergeCells count="1">
    <mergeCell ref="A5:F5"/>
  </mergeCells>
  <phoneticPr fontId="0" type="noConversion"/>
  <pageMargins left="0.5" right="0.5" top="0.72" bottom="0.23" header="0.5" footer="0"/>
  <pageSetup scale="83" firstPageNumber="4" orientation="portrait" blackAndWhite="1" horizontalDpi="120" verticalDpi="144" r:id="rId1"/>
  <headerFooter alignWithMargins="0">
    <oddHeader xml:space="preserve">&amp;RState of Kansas
County
</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19</vt:i4>
      </vt:variant>
    </vt:vector>
  </HeadingPairs>
  <TitlesOfParts>
    <vt:vector size="74" baseType="lpstr">
      <vt:lpstr>instructions</vt:lpstr>
      <vt:lpstr>inputPrYr</vt:lpstr>
      <vt:lpstr>inputOth</vt:lpstr>
      <vt:lpstr>inputBudSum</vt:lpstr>
      <vt:lpstr>cert</vt:lpstr>
      <vt:lpstr>cert2</vt:lpstr>
      <vt:lpstr>computation</vt:lpstr>
      <vt:lpstr>mvalloc</vt:lpstr>
      <vt:lpstr>transfers</vt:lpstr>
      <vt:lpstr>TransfersStatutes</vt:lpstr>
      <vt:lpstr>debt</vt:lpstr>
      <vt:lpstr>lpform</vt:lpstr>
      <vt:lpstr>general</vt:lpstr>
      <vt:lpstr>gen-detail</vt:lpstr>
      <vt:lpstr>DebtService</vt:lpstr>
      <vt:lpstr>road</vt:lpstr>
      <vt:lpstr>RoadDetail</vt:lpstr>
      <vt:lpstr>MultiYr-Ment Health</vt:lpstr>
      <vt:lpstr>NHosp-Noxious</vt:lpstr>
      <vt:lpstr>Hetling-Sp Brg1135</vt:lpstr>
      <vt:lpstr>Spec R&amp;B-Tort</vt:lpstr>
      <vt:lpstr>Health Dept-B&amp;I</vt:lpstr>
      <vt:lpstr>No Fund W</vt:lpstr>
      <vt:lpstr>levy page16</vt:lpstr>
      <vt:lpstr>levy page17</vt:lpstr>
      <vt:lpstr>levy page18</vt:lpstr>
      <vt:lpstr>levy page19</vt:lpstr>
      <vt:lpstr>levy page20</vt:lpstr>
      <vt:lpstr>no levy page21</vt:lpstr>
      <vt:lpstr>Com Corr-Cert Gr</vt:lpstr>
      <vt:lpstr>Surv -Citiz Rev</vt:lpstr>
      <vt:lpstr>911-Reg Deeds</vt:lpstr>
      <vt:lpstr>Co Auto-Prosec Tr</vt:lpstr>
      <vt:lpstr>Ct B&amp;I - Sales Tax Rev</vt:lpstr>
      <vt:lpstr>New Ct - Ct Sales tax Surp</vt:lpstr>
      <vt:lpstr>Spec Alch - Spec Parks</vt:lpstr>
      <vt:lpstr>nonbudA</vt:lpstr>
      <vt:lpstr>nonbudB</vt:lpstr>
      <vt:lpstr>nonbudC</vt:lpstr>
      <vt:lpstr>nonbudD</vt:lpstr>
      <vt:lpstr>NonBudFunds</vt:lpstr>
      <vt:lpstr>summ</vt:lpstr>
      <vt:lpstr>summ2</vt:lpstr>
      <vt:lpstr>Nhood</vt:lpstr>
      <vt:lpstr>Resolution</vt:lpstr>
      <vt:lpstr>Tab A</vt:lpstr>
      <vt:lpstr>Tab B</vt:lpstr>
      <vt:lpstr>Tab C</vt:lpstr>
      <vt:lpstr>Tab D</vt:lpstr>
      <vt:lpstr>Tab E</vt:lpstr>
      <vt:lpstr>Mill Rate Computation</vt:lpstr>
      <vt:lpstr>Helpful Links</vt:lpstr>
      <vt:lpstr>legend</vt:lpstr>
      <vt:lpstr>Sheet1</vt:lpstr>
      <vt:lpstr>Sheet2</vt:lpstr>
      <vt:lpstr>DebtService!Print_Area</vt:lpstr>
      <vt:lpstr>general!Print_Area</vt:lpstr>
      <vt:lpstr>'Health Dept-B&amp;I'!Print_Area</vt:lpstr>
      <vt:lpstr>'Hetling-Sp Brg1135'!Print_Area</vt:lpstr>
      <vt:lpstr>inputBudSum!Print_Area</vt:lpstr>
      <vt:lpstr>inputOth!Print_Area</vt:lpstr>
      <vt:lpstr>inputPrYr!Print_Area</vt:lpstr>
      <vt:lpstr>instructions!Print_Area</vt:lpstr>
      <vt:lpstr>'levy page16'!Print_Area</vt:lpstr>
      <vt:lpstr>'levy page17'!Print_Area</vt:lpstr>
      <vt:lpstr>'levy page18'!Print_Area</vt:lpstr>
      <vt:lpstr>'levy page19'!Print_Area</vt:lpstr>
      <vt:lpstr>'levy page20'!Print_Area</vt:lpstr>
      <vt:lpstr>'MultiYr-Ment Health'!Print_Area</vt:lpstr>
      <vt:lpstr>'NHosp-Noxious'!Print_Area</vt:lpstr>
      <vt:lpstr>'No Fund W'!Print_Area</vt:lpstr>
      <vt:lpstr>road!Print_Area</vt:lpstr>
      <vt:lpstr>'Spec R&amp;B-Tort'!Print_Area</vt:lpstr>
      <vt:lpstr>summ!Print_Area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Budget Form - Short</dc:title>
  <dc:creator>Barbara Butts</dc:creator>
  <cp:lastModifiedBy>rbrazier</cp:lastModifiedBy>
  <cp:lastPrinted>2013-08-22T16:38:02Z</cp:lastPrinted>
  <dcterms:created xsi:type="dcterms:W3CDTF">1998-08-26T13:26:11Z</dcterms:created>
  <dcterms:modified xsi:type="dcterms:W3CDTF">2014-01-06T18:19:24Z</dcterms:modified>
</cp:coreProperties>
</file>