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3" activeTab="4"/>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8"/>
  <c r="E7"/>
  <c r="H48" i="4"/>
  <c r="D39" i="5"/>
  <c r="D77"/>
  <c r="D60" i="15"/>
  <c r="D56" i="4"/>
  <c r="E56" s="1"/>
  <c r="J148" i="26"/>
  <c r="H134"/>
  <c r="C137"/>
  <c r="J137"/>
  <c r="H120"/>
  <c r="C123"/>
  <c r="F117"/>
  <c r="H117"/>
  <c r="F123"/>
  <c r="H114"/>
  <c r="C103"/>
  <c r="H100"/>
  <c r="H94"/>
  <c r="F97"/>
  <c r="H97"/>
  <c r="F103"/>
  <c r="H80"/>
  <c r="C83"/>
  <c r="F77"/>
  <c r="H77"/>
  <c r="F83"/>
  <c r="H74"/>
  <c r="H48"/>
  <c r="F50"/>
  <c r="J50"/>
  <c r="H41"/>
  <c r="H28"/>
  <c r="B28"/>
  <c r="H25"/>
  <c r="C25"/>
  <c r="A8" i="24"/>
  <c r="A46" i="23"/>
  <c r="A41"/>
  <c r="A6"/>
  <c r="A38" i="22"/>
  <c r="A33"/>
  <c r="A19"/>
  <c r="A6"/>
  <c r="A34" i="21"/>
  <c r="A33"/>
  <c r="A6"/>
  <c r="A64" i="20"/>
  <c r="A61"/>
  <c r="A33"/>
  <c r="A28"/>
  <c r="A25"/>
  <c r="A16"/>
  <c r="A6"/>
  <c r="A6" i="8"/>
  <c r="A8"/>
  <c r="D16" i="16"/>
  <c r="H30" i="17"/>
  <c r="F30"/>
  <c r="C14" i="7"/>
  <c r="C13"/>
  <c r="C12"/>
  <c r="C11"/>
  <c r="E24" i="2"/>
  <c r="D21" i="8" s="1"/>
  <c r="J6" i="10"/>
  <c r="D36" i="2"/>
  <c r="A45"/>
  <c r="A44"/>
  <c r="E1" i="15"/>
  <c r="H60"/>
  <c r="C61"/>
  <c r="E17" i="7"/>
  <c r="E19"/>
  <c r="E21"/>
  <c r="E23"/>
  <c r="G13"/>
  <c r="D9" i="5"/>
  <c r="D21"/>
  <c r="C21"/>
  <c r="C22"/>
  <c r="C34"/>
  <c r="C33"/>
  <c r="D33"/>
  <c r="D9" i="16"/>
  <c r="E30" i="5"/>
  <c r="E33"/>
  <c r="E32" s="1"/>
  <c r="D47"/>
  <c r="D59"/>
  <c r="D58" s="1"/>
  <c r="C59"/>
  <c r="C60"/>
  <c r="C71"/>
  <c r="D71"/>
  <c r="D10" i="16"/>
  <c r="E68" i="5"/>
  <c r="E71" s="1"/>
  <c r="D9" i="15"/>
  <c r="D30" s="1"/>
  <c r="C30"/>
  <c r="C31"/>
  <c r="C55"/>
  <c r="C54"/>
  <c r="G59"/>
  <c r="D54"/>
  <c r="G54"/>
  <c r="D8" i="16"/>
  <c r="E51" i="15"/>
  <c r="E54" s="1"/>
  <c r="D35" i="5"/>
  <c r="D87" s="1"/>
  <c r="C35"/>
  <c r="C87" s="1"/>
  <c r="B37" s="1"/>
  <c r="F3"/>
  <c r="D6" s="1"/>
  <c r="D44" s="1"/>
  <c r="D73"/>
  <c r="D89" s="1"/>
  <c r="C73"/>
  <c r="D33" i="6"/>
  <c r="C33"/>
  <c r="C34" s="1"/>
  <c r="F3"/>
  <c r="B33" s="1"/>
  <c r="C66"/>
  <c r="C67" s="1"/>
  <c r="D66"/>
  <c r="C64"/>
  <c r="C52"/>
  <c r="C53"/>
  <c r="C65"/>
  <c r="D64"/>
  <c r="D67"/>
  <c r="E64"/>
  <c r="D52"/>
  <c r="E52"/>
  <c r="C31"/>
  <c r="C19"/>
  <c r="C20"/>
  <c r="D31"/>
  <c r="D19"/>
  <c r="E19"/>
  <c r="E31"/>
  <c r="D52" i="4"/>
  <c r="D50"/>
  <c r="D49" s="1"/>
  <c r="D56" i="15"/>
  <c r="C56"/>
  <c r="C69" s="1"/>
  <c r="B56"/>
  <c r="G11" i="7"/>
  <c r="E15" i="4" s="1"/>
  <c r="E14"/>
  <c r="D9"/>
  <c r="D28" s="1"/>
  <c r="C28"/>
  <c r="C29" s="1"/>
  <c r="C50"/>
  <c r="C49" s="1"/>
  <c r="D7" i="16"/>
  <c r="C52" i="4"/>
  <c r="F3"/>
  <c r="G55"/>
  <c r="D6" i="15"/>
  <c r="E6"/>
  <c r="C6" i="5"/>
  <c r="C44" s="1"/>
  <c r="J28" i="17"/>
  <c r="J29"/>
  <c r="H28"/>
  <c r="F28"/>
  <c r="A17" i="8"/>
  <c r="A28" i="3"/>
  <c r="D28"/>
  <c r="I5" i="17"/>
  <c r="G5"/>
  <c r="E5"/>
  <c r="C5"/>
  <c r="A5"/>
  <c r="D28" i="2"/>
  <c r="A28"/>
  <c r="A24"/>
  <c r="D17"/>
  <c r="E17"/>
  <c r="K1" i="17"/>
  <c r="F2" s="1"/>
  <c r="A1"/>
  <c r="K7"/>
  <c r="B17"/>
  <c r="K17" s="1"/>
  <c r="D17"/>
  <c r="F17"/>
  <c r="F18"/>
  <c r="F29"/>
  <c r="H17"/>
  <c r="J17"/>
  <c r="J18"/>
  <c r="B28"/>
  <c r="D28"/>
  <c r="H18"/>
  <c r="H29"/>
  <c r="D18"/>
  <c r="D29"/>
  <c r="D30"/>
  <c r="G11" i="10"/>
  <c r="E14"/>
  <c r="E15"/>
  <c r="G18"/>
  <c r="E22"/>
  <c r="A11" i="14"/>
  <c r="A9"/>
  <c r="F41" i="9"/>
  <c r="E41"/>
  <c r="D31" i="3"/>
  <c r="D32"/>
  <c r="J1" i="10"/>
  <c r="B18"/>
  <c r="D30" i="6"/>
  <c r="E63"/>
  <c r="D63"/>
  <c r="C63"/>
  <c r="E30"/>
  <c r="C20" i="5"/>
  <c r="D32"/>
  <c r="C32"/>
  <c r="C58"/>
  <c r="D70"/>
  <c r="C70"/>
  <c r="D20" i="16"/>
  <c r="D22" s="1"/>
  <c r="D18"/>
  <c r="B10"/>
  <c r="B9"/>
  <c r="B8"/>
  <c r="B7"/>
  <c r="F1"/>
  <c r="A16" s="1"/>
  <c r="A1"/>
  <c r="D11"/>
  <c r="D12"/>
  <c r="C13"/>
  <c r="A47" i="14"/>
  <c r="A46"/>
  <c r="A45"/>
  <c r="A44"/>
  <c r="A43"/>
  <c r="A42"/>
  <c r="E1"/>
  <c r="A39" s="1"/>
  <c r="J2" i="7"/>
  <c r="C9" s="1"/>
  <c r="D22" i="14"/>
  <c r="I3" i="8"/>
  <c r="F13" s="1"/>
  <c r="A37" i="2"/>
  <c r="A15"/>
  <c r="E20" i="9"/>
  <c r="E16"/>
  <c r="E12"/>
  <c r="K20"/>
  <c r="J20"/>
  <c r="I20"/>
  <c r="H20"/>
  <c r="K16"/>
  <c r="J16"/>
  <c r="I16"/>
  <c r="H16"/>
  <c r="K12"/>
  <c r="K21"/>
  <c r="J12"/>
  <c r="J21"/>
  <c r="I12"/>
  <c r="I21"/>
  <c r="H12"/>
  <c r="H21"/>
  <c r="K1"/>
  <c r="E8" s="1"/>
  <c r="F28" s="1"/>
  <c r="F22" i="8"/>
  <c r="E16"/>
  <c r="B39" i="2"/>
  <c r="B22" i="8"/>
  <c r="A10" i="14"/>
  <c r="A8"/>
  <c r="A7"/>
  <c r="B5" i="12"/>
  <c r="B27"/>
  <c r="B31"/>
  <c r="B10"/>
  <c r="B9"/>
  <c r="B19"/>
  <c r="B23"/>
  <c r="D22" i="8"/>
  <c r="E24" i="13"/>
  <c r="E26"/>
  <c r="F19" i="8"/>
  <c r="D16"/>
  <c r="D24" i="13"/>
  <c r="D26"/>
  <c r="D19" i="8"/>
  <c r="B16"/>
  <c r="C24" i="13"/>
  <c r="C26"/>
  <c r="B19" i="8"/>
  <c r="F1" i="13"/>
  <c r="E9" s="1"/>
  <c r="A3"/>
  <c r="A2"/>
  <c r="B9" i="7"/>
  <c r="D9"/>
  <c r="B12"/>
  <c r="B1" i="15"/>
  <c r="C6"/>
  <c r="B32" i="10"/>
  <c r="B22"/>
  <c r="C15"/>
  <c r="C14"/>
  <c r="B13"/>
  <c r="B11"/>
  <c r="B9"/>
  <c r="B6"/>
  <c r="B5"/>
  <c r="A3"/>
  <c r="C2"/>
  <c r="G3" i="3"/>
  <c r="G32" s="1"/>
  <c r="A4"/>
  <c r="A2" i="14"/>
  <c r="A1"/>
  <c r="D42" i="2"/>
  <c r="J6" i="12"/>
  <c r="D27" i="3"/>
  <c r="D26"/>
  <c r="D25"/>
  <c r="D24"/>
  <c r="C25"/>
  <c r="C24"/>
  <c r="A27"/>
  <c r="A26"/>
  <c r="A25"/>
  <c r="A24"/>
  <c r="D30"/>
  <c r="C23"/>
  <c r="A6"/>
  <c r="E26"/>
  <c r="E27"/>
  <c r="C1" i="10"/>
  <c r="H41" i="9"/>
  <c r="G41"/>
  <c r="A2"/>
  <c r="A1"/>
  <c r="B6" i="4"/>
  <c r="B2"/>
  <c r="B1"/>
  <c r="B41" i="2"/>
  <c r="B40"/>
  <c r="B38"/>
  <c r="B44" i="5"/>
  <c r="B6"/>
  <c r="B2"/>
  <c r="B1"/>
  <c r="B39" i="6"/>
  <c r="B6"/>
  <c r="B2"/>
  <c r="B1"/>
  <c r="A5" i="8"/>
  <c r="C16"/>
  <c r="C18" s="1"/>
  <c r="B21"/>
  <c r="A16"/>
  <c r="A4"/>
  <c r="B14" i="7"/>
  <c r="B13"/>
  <c r="B2"/>
  <c r="B1"/>
  <c r="B11"/>
  <c r="C18" i="6"/>
  <c r="D18"/>
  <c r="E18"/>
  <c r="C51"/>
  <c r="D51"/>
  <c r="E51"/>
  <c r="C29" i="15"/>
  <c r="C53"/>
  <c r="D53"/>
  <c r="B4" i="16"/>
  <c r="D13"/>
  <c r="C78" i="5"/>
  <c r="B66" i="6"/>
  <c r="B73" i="5"/>
  <c r="C15" i="7"/>
  <c r="C25" s="1"/>
  <c r="A11" i="3"/>
  <c r="B18" i="17"/>
  <c r="K18" s="1"/>
  <c r="B35" i="5"/>
  <c r="B29" i="17"/>
  <c r="B30" s="1"/>
  <c r="C30" i="6"/>
  <c r="C9" i="13"/>
  <c r="J7" i="9"/>
  <c r="H28"/>
  <c r="A36" i="10"/>
  <c r="A26" i="14"/>
  <c r="D6" i="4"/>
  <c r="E13" i="3"/>
  <c r="F15"/>
  <c r="A10"/>
  <c r="A11" i="8"/>
  <c r="D13"/>
  <c r="G14"/>
  <c r="A24" i="14"/>
  <c r="D6" i="6"/>
  <c r="D39" s="1"/>
  <c r="G12" i="7"/>
  <c r="E14" i="15" s="1"/>
  <c r="D12" i="7"/>
  <c r="E11" i="15" s="1"/>
  <c r="K28" i="17"/>
  <c r="B17" i="8"/>
  <c r="E6" i="16"/>
  <c r="G28" i="9"/>
  <c r="A26" i="16"/>
  <c r="C6"/>
  <c r="B6"/>
  <c r="H7" i="9"/>
  <c r="D6" i="16"/>
  <c r="C46" i="3"/>
  <c r="G14" i="7"/>
  <c r="E52" i="5" s="1"/>
  <c r="D14" i="7"/>
  <c r="E49" i="5" s="1"/>
  <c r="C32" i="6"/>
  <c r="D7"/>
  <c r="D20"/>
  <c r="D32"/>
  <c r="C40" i="5"/>
  <c r="E6"/>
  <c r="E44" s="1"/>
  <c r="C6" i="4"/>
  <c r="B52"/>
  <c r="C70"/>
  <c r="E6"/>
  <c r="E14" i="5"/>
  <c r="E47" i="4"/>
  <c r="E50" s="1"/>
  <c r="E13" i="16"/>
  <c r="C35" i="6"/>
  <c r="E18" i="8"/>
  <c r="M21" s="1"/>
  <c r="D69" i="15"/>
  <c r="E29" i="7"/>
  <c r="F12" s="1"/>
  <c r="J5" i="10"/>
  <c r="J7" s="1"/>
  <c r="C89" i="5"/>
  <c r="D20"/>
  <c r="J83" i="26"/>
  <c r="J123"/>
  <c r="J103"/>
  <c r="E77" i="5"/>
  <c r="E39"/>
  <c r="E60" i="15"/>
  <c r="D34" i="6"/>
  <c r="G43" i="4"/>
  <c r="H46"/>
  <c r="H50"/>
  <c r="H53"/>
  <c r="G59"/>
  <c r="G52" i="15"/>
  <c r="H55"/>
  <c r="H57"/>
  <c r="H59"/>
  <c r="H62"/>
  <c r="C57" i="4"/>
  <c r="H45"/>
  <c r="H47"/>
  <c r="H51"/>
  <c r="H54" i="15"/>
  <c r="H56"/>
  <c r="E21" i="9"/>
  <c r="G50" i="4"/>
  <c r="C27"/>
  <c r="D7" i="15"/>
  <c r="C70"/>
  <c r="C72" i="5"/>
  <c r="D45"/>
  <c r="D60"/>
  <c r="D72" s="1"/>
  <c r="C90"/>
  <c r="C88"/>
  <c r="D7"/>
  <c r="D22"/>
  <c r="D34" s="1"/>
  <c r="C68" i="6"/>
  <c r="D40"/>
  <c r="D53"/>
  <c r="D65"/>
  <c r="E7"/>
  <c r="E20"/>
  <c r="E32"/>
  <c r="E33"/>
  <c r="D35"/>
  <c r="J30" i="17"/>
  <c r="K29"/>
  <c r="F36" i="5"/>
  <c r="E37"/>
  <c r="J16" i="8"/>
  <c r="J20"/>
  <c r="M14"/>
  <c r="J12"/>
  <c r="J18"/>
  <c r="J21"/>
  <c r="E40" i="6"/>
  <c r="E53"/>
  <c r="E65"/>
  <c r="E66"/>
  <c r="D68"/>
  <c r="J59" i="4"/>
  <c r="J58"/>
  <c r="D70" l="1"/>
  <c r="B54" s="1"/>
  <c r="F13" i="7"/>
  <c r="E13" i="5" s="1"/>
  <c r="G15" i="7"/>
  <c r="F14"/>
  <c r="E51" i="5" s="1"/>
  <c r="A18" i="3"/>
  <c r="F16" i="8"/>
  <c r="E54" i="4"/>
  <c r="F53"/>
  <c r="E24" i="3"/>
  <c r="B75" i="5"/>
  <c r="F31" i="7"/>
  <c r="D27"/>
  <c r="A14" i="14"/>
  <c r="A35"/>
  <c r="C40"/>
  <c r="A6"/>
  <c r="B40"/>
  <c r="C6" i="6"/>
  <c r="C39" s="1"/>
  <c r="E6"/>
  <c r="E39" s="1"/>
  <c r="E23" i="3"/>
  <c r="E29" s="1"/>
  <c r="E49" i="4"/>
  <c r="K30" i="17"/>
  <c r="C51" i="4"/>
  <c r="C71" s="1"/>
  <c r="B13" i="8"/>
  <c r="A10"/>
  <c r="E13" i="15"/>
  <c r="F11" i="7"/>
  <c r="E13" i="4" s="1"/>
  <c r="D13" i="7"/>
  <c r="D11" s="1"/>
  <c r="F74" i="5"/>
  <c r="E25" i="3"/>
  <c r="E70" i="5"/>
  <c r="E75"/>
  <c r="D9" i="13"/>
  <c r="G16" i="10"/>
  <c r="G20" s="1"/>
  <c r="G24" s="1"/>
  <c r="G26" s="1"/>
  <c r="J28" s="1"/>
  <c r="J30" s="1"/>
  <c r="D18" i="8"/>
  <c r="D20" s="1"/>
  <c r="E45" i="5"/>
  <c r="D90"/>
  <c r="B76" s="1"/>
  <c r="D29" i="15"/>
  <c r="D31"/>
  <c r="D55" s="1"/>
  <c r="B18" i="8"/>
  <c r="B20" s="1"/>
  <c r="B29" i="13"/>
  <c r="A12" i="14"/>
  <c r="B58" i="15"/>
  <c r="D70"/>
  <c r="B59" s="1"/>
  <c r="E7"/>
  <c r="E11" i="5"/>
  <c r="D88"/>
  <c r="B38" s="1"/>
  <c r="E7"/>
  <c r="D27" i="4"/>
  <c r="F57" i="15"/>
  <c r="E58"/>
  <c r="F18" i="8"/>
  <c r="F20" s="1"/>
  <c r="E53" i="15"/>
  <c r="F15" i="7"/>
  <c r="E13" l="1"/>
  <c r="E12" i="5" s="1"/>
  <c r="E12" i="7"/>
  <c r="E21" i="5"/>
  <c r="E14" i="7"/>
  <c r="E50" i="5" s="1"/>
  <c r="E59" s="1"/>
  <c r="E60" s="1"/>
  <c r="E76" s="1"/>
  <c r="E78" s="1"/>
  <c r="D7" i="4"/>
  <c r="D29" s="1"/>
  <c r="D51" s="1"/>
  <c r="D71" s="1"/>
  <c r="B55" s="1"/>
  <c r="E11"/>
  <c r="D15" i="7"/>
  <c r="E22" i="5"/>
  <c r="E38" s="1"/>
  <c r="E40" s="1"/>
  <c r="G25" i="3"/>
  <c r="F25"/>
  <c r="F24"/>
  <c r="G24"/>
  <c r="E20" i="5"/>
  <c r="E58"/>
  <c r="G45" i="4" l="1"/>
  <c r="E12" i="15"/>
  <c r="E30" s="1"/>
  <c r="E11" i="7"/>
  <c r="E7" i="4"/>
  <c r="G55" i="15" l="1"/>
  <c r="E31"/>
  <c r="E59" s="1"/>
  <c r="E61" s="1"/>
  <c r="E12" i="4"/>
  <c r="E28" s="1"/>
  <c r="G46" s="1"/>
  <c r="E15" i="7"/>
  <c r="E29" i="4" l="1"/>
  <c r="E55" s="1"/>
  <c r="E57" s="1"/>
  <c r="G53" s="1"/>
  <c r="G56" i="15"/>
  <c r="G57" s="1"/>
  <c r="G60" s="1"/>
  <c r="G62"/>
  <c r="J32" i="10"/>
  <c r="J34" s="1"/>
  <c r="E29" i="15"/>
  <c r="E27" i="4" l="1"/>
  <c r="F23" i="3"/>
  <c r="F29" s="1"/>
  <c r="F30" s="1"/>
  <c r="G16" i="8"/>
  <c r="G47" i="4"/>
  <c r="G48" s="1"/>
  <c r="G51" s="1"/>
  <c r="G18" i="8" l="1"/>
  <c r="M20" s="1"/>
  <c r="M22" s="1"/>
  <c r="H16"/>
  <c r="H18" s="1"/>
</calcChain>
</file>

<file path=xl/sharedStrings.xml><?xml version="1.0" encoding="utf-8"?>
<sst xmlns="http://schemas.openxmlformats.org/spreadsheetml/2006/main" count="1115" uniqueCount="757">
  <si>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</si>
  <si>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</si>
  <si>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</si>
  <si>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</si>
  <si>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</si>
  <si>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</si>
  <si>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</si>
  <si>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</si>
  <si>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</si>
  <si>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</si>
  <si>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</si>
  <si>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</si>
  <si>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</si>
  <si>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</si>
  <si>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</si>
  <si>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</si>
  <si>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</si>
  <si>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</si>
  <si>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</si>
  <si>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</si>
  <si>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</si>
  <si>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</si>
  <si>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</si>
  <si>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</si>
  <si>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</si>
  <si>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</si>
  <si>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</si>
  <si>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</si>
  <si>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</si>
  <si>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</si>
  <si>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</si>
  <si>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</si>
  <si>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</si>
  <si>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</si>
  <si>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</si>
  <si>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</si>
  <si>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</si>
  <si>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</si>
  <si>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</si>
  <si>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</si>
  <si>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</si>
  <si>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</si>
  <si>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</si>
  <si>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</si>
  <si>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</si>
  <si>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</si>
  <si>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</si>
  <si>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</si>
  <si>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</si>
  <si>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</si>
  <si>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</si>
  <si>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</si>
  <si>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</si>
  <si>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</si>
  <si>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</si>
  <si>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</si>
  <si>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</si>
  <si>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</si>
  <si>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</si>
  <si>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</si>
  <si>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</si>
  <si>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</si>
  <si>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</si>
  <si>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</si>
  <si>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</si>
  <si>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</si>
  <si>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</si>
  <si>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</si>
  <si>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</si>
  <si>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</si>
  <si>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</si>
  <si>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</si>
  <si>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</si>
  <si>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</si>
  <si>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</si>
  <si>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</si>
  <si>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</si>
  <si>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</si>
  <si>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</si>
  <si>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</si>
  <si>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</si>
  <si>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</si>
  <si>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</si>
  <si>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</si>
  <si>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</si>
  <si>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</si>
  <si>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</si>
  <si>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</si>
  <si>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</si>
  <si>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</si>
  <si>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</si>
  <si>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</si>
  <si>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</si>
  <si>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</si>
  <si>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</si>
  <si>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</si>
  <si>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</si>
  <si>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</si>
  <si>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</si>
  <si>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</si>
  <si>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</si>
  <si>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</si>
  <si>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</si>
  <si>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</si>
  <si>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</si>
  <si>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</si>
  <si>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</si>
  <si>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</si>
  <si>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</si>
  <si>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</si>
  <si>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</si>
  <si>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</si>
  <si>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</si>
  <si>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</si>
  <si>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</si>
  <si>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</si>
  <si>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</si>
  <si>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</si>
  <si>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</si>
  <si>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</si>
  <si>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</si>
  <si>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</si>
  <si>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</si>
  <si>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</si>
  <si>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</si>
  <si>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</si>
  <si>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</si>
  <si>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</si>
  <si>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</si>
  <si>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</si>
  <si>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</si>
  <si>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</si>
  <si>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</si>
  <si>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</si>
  <si>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</si>
  <si>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</si>
  <si>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</si>
  <si>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</si>
  <si>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</si>
  <si>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</si>
  <si>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</si>
  <si>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</si>
  <si>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</si>
  <si>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</si>
  <si>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</si>
  <si>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</si>
  <si>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</si>
  <si>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</si>
  <si>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</si>
  <si>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</si>
  <si>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</si>
  <si>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</si>
  <si>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</si>
  <si>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</si>
  <si>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</si>
  <si>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</si>
  <si>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</si>
  <si>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</si>
  <si>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</si>
  <si>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</si>
  <si>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</si>
  <si>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</si>
  <si>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</si>
  <si>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</si>
  <si>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</si>
  <si>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</si>
  <si>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</si>
  <si>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</si>
  <si>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</si>
  <si>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</si>
  <si>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</si>
  <si>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</si>
  <si>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</si>
  <si>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</si>
  <si>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</si>
  <si>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</si>
  <si>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</si>
  <si>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</si>
  <si>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</si>
  <si>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</si>
  <si>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</si>
  <si>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</si>
  <si>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</si>
  <si>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</si>
  <si>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</si>
  <si>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</si>
  <si>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</si>
  <si>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</si>
  <si>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</si>
  <si>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</si>
  <si>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</si>
  <si>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</si>
  <si>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</si>
  <si>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</si>
  <si>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</si>
  <si>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</si>
  <si>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</si>
  <si>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</si>
  <si>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</si>
  <si>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</si>
  <si>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</si>
  <si>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</si>
  <si>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</si>
  <si>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</si>
  <si>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</si>
  <si>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</si>
  <si>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</si>
  <si>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</si>
  <si>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</si>
  <si>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</si>
  <si>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</si>
  <si>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</si>
  <si>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</si>
  <si>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</si>
  <si>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</si>
  <si>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</si>
  <si>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</si>
  <si>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</si>
  <si>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</si>
  <si>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</si>
  <si>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</si>
  <si>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</si>
  <si>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</si>
  <si>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</si>
  <si>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</si>
  <si>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</si>
  <si>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</si>
  <si>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</si>
  <si>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</si>
  <si>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</si>
  <si>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</si>
  <si>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</si>
  <si>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</si>
  <si>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</si>
  <si>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</si>
  <si>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</si>
  <si>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</si>
  <si>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</si>
  <si>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</si>
  <si>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</si>
  <si>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</si>
  <si>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</si>
  <si>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</si>
  <si>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</si>
  <si>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</si>
  <si>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</si>
  <si>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</si>
  <si>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</si>
  <si>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</si>
  <si>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</si>
  <si>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</si>
  <si>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</si>
  <si>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</si>
  <si>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</si>
  <si>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</si>
  <si>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</si>
  <si>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</si>
  <si>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</si>
  <si>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</si>
  <si>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</si>
  <si>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</si>
  <si>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</si>
  <si>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</si>
  <si>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</si>
  <si>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</si>
  <si>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</si>
  <si>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</si>
  <si>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</si>
  <si>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</si>
  <si>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</si>
  <si>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</si>
  <si>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</si>
  <si>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</si>
  <si>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</si>
  <si>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</si>
  <si>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</si>
  <si>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</si>
  <si>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</si>
  <si>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</si>
  <si>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</si>
  <si>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</si>
  <si>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</si>
  <si>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</si>
  <si>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</si>
  <si>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</si>
  <si>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</si>
  <si>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</si>
  <si>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</si>
  <si>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</si>
  <si>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</si>
  <si>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</si>
  <si>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</si>
  <si>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</si>
  <si>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</si>
  <si>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</si>
  <si>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</si>
  <si>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</si>
  <si>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</si>
  <si>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</si>
  <si>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</si>
  <si>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</si>
  <si>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</si>
  <si>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</si>
  <si>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</si>
  <si>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</si>
  <si>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</si>
  <si>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</si>
  <si>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</si>
  <si>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</si>
  <si>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</si>
  <si>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</si>
  <si>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</si>
  <si>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</si>
  <si>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</si>
  <si>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</si>
  <si>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</si>
  <si>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</si>
  <si>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</si>
  <si>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</si>
  <si>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</si>
  <si>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</si>
  <si>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</si>
  <si>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</si>
  <si>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</si>
  <si>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</si>
  <si>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</si>
  <si>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</si>
  <si>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</si>
  <si>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</si>
  <si>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</si>
  <si>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</si>
  <si>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</si>
  <si>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</si>
  <si>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</si>
  <si>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</si>
  <si>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</si>
  <si>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</si>
  <si>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</si>
  <si>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</si>
  <si>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</si>
  <si>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</si>
  <si>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</si>
  <si>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</si>
  <si>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</si>
  <si>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</si>
  <si>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</si>
  <si>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</si>
  <si>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</si>
  <si>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</si>
  <si>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</si>
  <si>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</si>
  <si>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</si>
  <si>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</si>
  <si>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</si>
  <si>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</si>
  <si>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</si>
  <si>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</si>
  <si>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</si>
  <si>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</si>
  <si>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</si>
  <si>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</si>
  <si>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</si>
  <si>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</si>
  <si>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</si>
  <si>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</si>
  <si>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</si>
  <si>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</si>
  <si>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</si>
  <si>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</si>
  <si>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</si>
  <si>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</si>
  <si>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</si>
  <si>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</si>
  <si>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</si>
  <si>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</si>
  <si>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</si>
  <si>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</si>
  <si>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</si>
  <si>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</si>
  <si>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</si>
  <si>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</si>
  <si>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</si>
  <si>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</si>
  <si>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</si>
  <si>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</si>
  <si>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</si>
  <si>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</si>
  <si>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</si>
  <si>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</si>
  <si>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</si>
  <si>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</si>
  <si>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</si>
  <si>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</si>
  <si>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</si>
  <si>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</si>
  <si>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</si>
  <si>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</si>
  <si>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</si>
  <si>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</si>
  <si>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</si>
  <si>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</si>
  <si>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</si>
  <si>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</si>
  <si>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</si>
  <si>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</si>
  <si>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</si>
  <si>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</si>
  <si>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</si>
  <si>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</si>
  <si>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</si>
  <si>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</si>
  <si>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</si>
  <si>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</si>
  <si>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</si>
  <si>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</si>
  <si>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</si>
  <si>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</si>
  <si>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</si>
  <si>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</si>
  <si>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</si>
  <si>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</si>
  <si>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</si>
  <si>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</si>
  <si>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</si>
  <si>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</si>
  <si>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</si>
  <si>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</si>
  <si>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</si>
  <si>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</si>
  <si>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</si>
  <si>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</si>
  <si>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</si>
  <si>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</si>
  <si>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</si>
  <si>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</si>
  <si>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</si>
  <si>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</si>
  <si>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</si>
  <si>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</si>
  <si>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</si>
  <si>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</si>
  <si>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</si>
  <si>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</si>
  <si>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</si>
  <si>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</si>
  <si>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</si>
  <si>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</si>
  <si>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</si>
  <si>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</si>
  <si>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</si>
  <si>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</si>
  <si>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</si>
  <si>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</si>
  <si>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</si>
  <si>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</si>
  <si>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</si>
  <si>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</si>
  <si>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</si>
  <si>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</si>
  <si>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</si>
  <si>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</si>
  <si>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</si>
  <si>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</si>
  <si>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</si>
  <si>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</si>
  <si>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</si>
  <si>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</si>
  <si>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</si>
  <si>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</si>
  <si>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</si>
  <si>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</si>
  <si>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</si>
  <si>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</si>
  <si>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</si>
  <si>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</si>
  <si>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</si>
  <si>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</si>
  <si>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</si>
  <si>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</si>
  <si>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</si>
  <si>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</si>
  <si>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</si>
  <si>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</si>
  <si>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</si>
  <si>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</si>
  <si>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</si>
  <si>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</si>
  <si>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</si>
  <si>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</si>
  <si>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</si>
  <si>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</si>
  <si>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</si>
  <si>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</si>
  <si>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</si>
  <si>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</si>
  <si>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</si>
  <si>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</si>
  <si>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</si>
  <si>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</si>
  <si>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</si>
  <si>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</si>
  <si>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</si>
  <si>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</si>
  <si>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</si>
  <si>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</si>
  <si>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</si>
  <si>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</si>
  <si>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</si>
  <si>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</si>
  <si>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</si>
  <si>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</si>
  <si>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</si>
  <si>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</si>
  <si>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</si>
  <si>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</si>
  <si>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</si>
  <si>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</si>
  <si>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</si>
  <si>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</si>
  <si>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</si>
  <si>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</si>
  <si>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</si>
  <si>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</si>
  <si>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</si>
  <si>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</si>
  <si>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</si>
  <si>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</si>
  <si>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</si>
  <si>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</si>
  <si>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</si>
  <si>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</si>
  <si>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</si>
  <si>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</si>
  <si>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</si>
  <si>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</si>
  <si>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</si>
  <si>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</si>
  <si>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</si>
  <si>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</si>
  <si>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</si>
  <si>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</si>
  <si>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</si>
  <si>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</si>
  <si>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</si>
  <si>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</si>
  <si>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</si>
  <si>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</si>
  <si>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</si>
  <si>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</si>
  <si>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</si>
  <si>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</si>
  <si>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</si>
  <si>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</si>
  <si>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</si>
  <si>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</si>
  <si>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</si>
  <si>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</si>
  <si>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</si>
  <si>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</si>
  <si>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</si>
  <si>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</si>
  <si>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</si>
  <si>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</si>
  <si>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</si>
  <si>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</si>
  <si>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</si>
  <si>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</si>
  <si>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</si>
  <si>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</si>
  <si>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</si>
  <si>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</si>
  <si>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</si>
  <si>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</si>
  <si>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</si>
  <si>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</si>
  <si>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</si>
  <si>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</si>
  <si>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</si>
  <si>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</si>
  <si>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</si>
  <si>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</si>
  <si>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</si>
  <si>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</si>
  <si>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</si>
  <si>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</si>
  <si>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</si>
  <si>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</si>
  <si>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</si>
  <si>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</si>
  <si>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</si>
  <si>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</si>
  <si>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</si>
  <si>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</si>
  <si>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</si>
  <si>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</si>
  <si>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</si>
  <si>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</si>
  <si>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</si>
  <si>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</si>
  <si>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</si>
  <si>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</si>
  <si>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</si>
  <si>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</si>
  <si>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</si>
  <si>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</si>
  <si>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</si>
  <si>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</si>
  <si>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</si>
  <si>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</si>
  <si>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</si>
  <si>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</si>
  <si>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</si>
  <si>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</si>
  <si>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</si>
  <si>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</si>
  <si>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</si>
  <si>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</si>
  <si>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</si>
  <si>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</si>
  <si>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</si>
  <si>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</si>
  <si>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</si>
  <si>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</si>
  <si>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</si>
  <si>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</si>
  <si>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</si>
  <si>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</si>
  <si>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</si>
  <si>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</si>
  <si>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</si>
  <si>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</si>
  <si>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</si>
  <si>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</si>
  <si>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</si>
  <si>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</si>
  <si>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</si>
  <si>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</si>
  <si>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</si>
  <si>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</si>
  <si>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</si>
  <si>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</si>
  <si>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</si>
  <si>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</si>
  <si>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</si>
  <si>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</si>
  <si>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</si>
  <si>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</si>
  <si>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</si>
  <si>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</si>
  <si>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</si>
  <si>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</si>
  <si>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</si>
  <si>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</si>
  <si>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</si>
  <si>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</si>
  <si>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</si>
  <si>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</si>
  <si>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</si>
  <si>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</si>
  <si>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</si>
  <si>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</si>
  <si>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</si>
  <si>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</si>
  <si>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</si>
  <si>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</si>
  <si>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</si>
  <si>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</si>
  <si>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</si>
  <si>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</si>
  <si>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</si>
  <si>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</si>
  <si>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</si>
  <si>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</si>
  <si>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</si>
  <si>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</si>
  <si>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</si>
  <si>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</si>
  <si>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</si>
  <si>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</si>
  <si>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</si>
  <si>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</si>
  <si>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</si>
  <si>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</si>
  <si>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</si>
  <si>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</si>
  <si>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</si>
  <si>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</si>
  <si>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</si>
  <si>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</si>
  <si>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</si>
  <si>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</si>
  <si>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</si>
  <si>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</si>
  <si>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</si>
  <si>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</si>
  <si>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</si>
  <si>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</si>
  <si>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</si>
  <si>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</si>
  <si>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</si>
  <si>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</si>
  <si>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</si>
  <si>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</si>
  <si>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</si>
  <si>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</si>
  <si>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</si>
  <si>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</si>
  <si>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</si>
  <si>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</si>
  <si>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</si>
  <si>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</si>
  <si>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</si>
  <si>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</si>
  <si>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</si>
  <si>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</si>
  <si>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</si>
  <si>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</si>
  <si>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</si>
  <si>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</si>
  <si>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</si>
  <si>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</si>
  <si>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</si>
  <si>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</si>
  <si>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</si>
  <si>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</si>
  <si>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</si>
  <si>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</si>
  <si>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</si>
  <si>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</si>
  <si>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</si>
  <si>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</si>
  <si>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</si>
  <si>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</si>
  <si>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Ohio/Princeton Fire</t>
  </si>
  <si>
    <t>80-1546</t>
  </si>
  <si>
    <t>Equipment Fund</t>
  </si>
  <si>
    <t>Princeton Fire Station</t>
  </si>
  <si>
    <t>Grant</t>
  </si>
  <si>
    <t>Other</t>
  </si>
  <si>
    <t>Training</t>
  </si>
  <si>
    <t>Building &amp; Supplies</t>
  </si>
  <si>
    <t>Utilities</t>
  </si>
  <si>
    <t>Insurance</t>
  </si>
  <si>
    <t>Office Supplies</t>
  </si>
  <si>
    <t>Batteries &amp; Repairs</t>
  </si>
  <si>
    <t>Supplies for Truck</t>
  </si>
  <si>
    <t>Equipment under $1000</t>
  </si>
  <si>
    <t>Donation</t>
  </si>
  <si>
    <t>Tax Disbursment Overpayment</t>
  </si>
  <si>
    <t>Sale of Truck</t>
  </si>
  <si>
    <t xml:space="preserve">Equipment </t>
  </si>
  <si>
    <t>Reserve</t>
  </si>
  <si>
    <t>Fire Truck</t>
  </si>
  <si>
    <t>August 12, 2013</t>
  </si>
  <si>
    <t>7:00pm</t>
  </si>
  <si>
    <t>/s/ Joyce Dalsing</t>
  </si>
  <si>
    <t>Treasurer</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</si>
</sst>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amily val="3"/>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90">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0" fontId="3" fillId="3" borderId="30" xfId="0" applyFont="1" applyFill="1" applyBorder="1" applyAlignment="1" applyProtection="1">
      <alignment vertical="center"/>
    </xf>
    <xf numFmtId="37" fontId="3" fillId="3" borderId="30"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0" fontId="3" fillId="0" borderId="0" xfId="0" applyFont="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3" fillId="3" borderId="1" xfId="0"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6" fillId="0" borderId="0" xfId="0" applyFont="1" applyAlignment="1">
      <alignment horizontal="left" vertical="top" wrapText="1"/>
    </xf>
    <xf numFmtId="0" fontId="16" fillId="0" borderId="0" xfId="0" applyFont="1" applyAlignment="1">
      <alignment vertical="top" wrapText="1"/>
    </xf>
    <xf numFmtId="0" fontId="6"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0" fillId="0" borderId="0" xfId="0" applyAlignment="1">
      <alignment vertical="top" wrapText="1"/>
    </xf>
    <xf numFmtId="178" fontId="37" fillId="14" borderId="1" xfId="0" applyNumberFormat="1" applyFont="1" applyFill="1" applyBorder="1" applyAlignment="1" applyProtection="1">
      <alignment horizontal="center"/>
      <protection locked="0"/>
    </xf>
    <xf numFmtId="0" fontId="51" fillId="12" borderId="0" xfId="0" applyFont="1" applyFill="1" applyAlignment="1">
      <alignment horizontal="center" wrapText="1"/>
    </xf>
    <xf numFmtId="0" fontId="37" fillId="0" borderId="0" xfId="0" applyFont="1" applyAlignment="1">
      <alignment horizontal="center" wrapText="1"/>
    </xf>
    <xf numFmtId="0" fontId="51" fillId="12" borderId="0" xfId="0" applyFont="1" applyFill="1" applyAlignment="1">
      <alignment horizontal="center" vertical="center"/>
    </xf>
    <xf numFmtId="0" fontId="51" fillId="0" borderId="0" xfId="0" applyFont="1" applyAlignment="1">
      <alignment horizontal="center" vertical="center"/>
    </xf>
    <xf numFmtId="0" fontId="51" fillId="12" borderId="0" xfId="0" applyFont="1" applyFill="1" applyAlignment="1">
      <alignment horizontal="center"/>
    </xf>
    <xf numFmtId="0" fontId="37" fillId="12" borderId="0" xfId="0" applyFont="1" applyFill="1" applyAlignment="1">
      <alignment wrapText="1"/>
    </xf>
    <xf numFmtId="178" fontId="37" fillId="12" borderId="0" xfId="0" applyNumberFormat="1" applyFont="1" applyFill="1" applyAlignment="1"/>
    <xf numFmtId="0" fontId="51" fillId="12" borderId="19" xfId="0" applyFont="1" applyFill="1" applyBorder="1" applyAlignment="1">
      <alignment horizontal="center" vertical="center"/>
    </xf>
    <xf numFmtId="0" fontId="37" fillId="0" borderId="0" xfId="0" applyFont="1" applyAlignment="1">
      <alignment wrapText="1"/>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5" fontId="37" fillId="12" borderId="1" xfId="0" applyNumberFormat="1" applyFont="1" applyFill="1" applyBorder="1" applyAlignment="1">
      <alignment horizont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37" fillId="12" borderId="0" xfId="0" applyFont="1" applyFill="1" applyBorder="1" applyAlignment="1">
      <alignment horizontal="center"/>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6" t="s">
        <v>75</v>
      </c>
      <c r="B1" s="337"/>
    </row>
    <row r="2" spans="1:2">
      <c r="A2" s="336"/>
      <c r="B2" s="337"/>
    </row>
    <row r="3" spans="1:2" ht="35.25" customHeight="1">
      <c r="A3" s="338" t="s">
        <v>172</v>
      </c>
    </row>
    <row r="4" spans="1:2">
      <c r="A4" s="339"/>
    </row>
    <row r="5" spans="1:2">
      <c r="A5" s="339" t="s">
        <v>226</v>
      </c>
    </row>
    <row r="6" spans="1:2">
      <c r="A6" s="339"/>
    </row>
    <row r="7" spans="1:2" ht="57.75" customHeight="1">
      <c r="A7" s="340" t="s">
        <v>265</v>
      </c>
    </row>
    <row r="8" spans="1:2">
      <c r="A8" s="339"/>
    </row>
    <row r="9" spans="1:2">
      <c r="A9" s="341" t="s">
        <v>220</v>
      </c>
      <c r="B9" s="337"/>
    </row>
    <row r="10" spans="1:2">
      <c r="A10" s="341"/>
      <c r="B10" s="337"/>
    </row>
    <row r="11" spans="1:2">
      <c r="A11" s="339" t="s">
        <v>221</v>
      </c>
      <c r="B11" s="337"/>
    </row>
    <row r="12" spans="1:2" ht="14.25" customHeight="1">
      <c r="A12" s="146"/>
    </row>
    <row r="13" spans="1:2" s="330" customFormat="1" ht="42" customHeight="1">
      <c r="A13" s="342" t="s">
        <v>266</v>
      </c>
    </row>
    <row r="16" spans="1:2">
      <c r="A16" s="341" t="s">
        <v>5</v>
      </c>
    </row>
    <row r="17" spans="1:1">
      <c r="A17" s="146"/>
    </row>
    <row r="18" spans="1:1">
      <c r="A18" s="266" t="s">
        <v>215</v>
      </c>
    </row>
    <row r="19" spans="1:1" ht="17.25" customHeight="1">
      <c r="A19" s="342" t="s">
        <v>127</v>
      </c>
    </row>
    <row r="20" spans="1:1" ht="24.75" customHeight="1">
      <c r="A20" s="343" t="s">
        <v>126</v>
      </c>
    </row>
    <row r="21" spans="1:1" ht="52.5" customHeight="1">
      <c r="A21" s="344" t="s">
        <v>128</v>
      </c>
    </row>
    <row r="22" spans="1:1" ht="20.25" customHeight="1">
      <c r="A22" s="345" t="s">
        <v>173</v>
      </c>
    </row>
    <row r="23" spans="1:1" s="346" customFormat="1" ht="20.25" customHeight="1">
      <c r="A23" s="301" t="s">
        <v>219</v>
      </c>
    </row>
    <row r="24" spans="1:1" ht="21" customHeight="1">
      <c r="A24" s="342" t="s">
        <v>74</v>
      </c>
    </row>
    <row r="25" spans="1:1">
      <c r="A25" s="146"/>
    </row>
    <row r="26" spans="1:1">
      <c r="A26" s="347" t="s">
        <v>6</v>
      </c>
    </row>
    <row r="28" spans="1:1" ht="21" customHeight="1">
      <c r="A28" s="330" t="s">
        <v>145</v>
      </c>
    </row>
    <row r="30" spans="1:1" ht="71.25" customHeight="1">
      <c r="A30" s="330" t="s">
        <v>702</v>
      </c>
    </row>
    <row r="31" spans="1:1" ht="49.5" customHeight="1">
      <c r="A31" s="348" t="s">
        <v>218</v>
      </c>
    </row>
    <row r="32" spans="1:1" ht="74.099999999999994" customHeight="1">
      <c r="A32" s="379" t="s">
        <v>530</v>
      </c>
    </row>
    <row r="33" spans="1:1" ht="69.95" customHeight="1">
      <c r="A33" s="380" t="s">
        <v>531</v>
      </c>
    </row>
    <row r="35" spans="1:1" ht="71.25" customHeight="1">
      <c r="A35" s="330" t="s">
        <v>703</v>
      </c>
    </row>
    <row r="36" spans="1:1" ht="57.75" customHeight="1">
      <c r="A36" s="330" t="s">
        <v>532</v>
      </c>
    </row>
    <row r="37" spans="1:1" ht="105" customHeight="1">
      <c r="A37" s="330" t="s">
        <v>533</v>
      </c>
    </row>
    <row r="38" spans="1:1">
      <c r="A38" s="330"/>
    </row>
    <row r="39" spans="1:1" ht="70.5" customHeight="1">
      <c r="A39" s="330" t="s">
        <v>534</v>
      </c>
    </row>
    <row r="40" spans="1:1" ht="70.5" customHeight="1">
      <c r="A40" s="330" t="s">
        <v>535</v>
      </c>
    </row>
    <row r="41" spans="1:1" ht="39" customHeight="1">
      <c r="A41" s="330" t="s">
        <v>536</v>
      </c>
    </row>
    <row r="42" spans="1:1">
      <c r="A42" s="330"/>
    </row>
    <row r="43" spans="1:1" ht="71.25" customHeight="1">
      <c r="A43" s="330" t="s">
        <v>537</v>
      </c>
    </row>
    <row r="44" spans="1:1" ht="42" customHeight="1">
      <c r="A44" s="330" t="s">
        <v>538</v>
      </c>
    </row>
    <row r="45" spans="1:1" ht="44.25" customHeight="1">
      <c r="A45" s="330" t="s">
        <v>539</v>
      </c>
    </row>
    <row r="47" spans="1:1" ht="51.75" customHeight="1">
      <c r="A47" s="330" t="s">
        <v>540</v>
      </c>
    </row>
    <row r="49" spans="1:1" ht="35.25" customHeight="1">
      <c r="A49" s="330" t="s">
        <v>541</v>
      </c>
    </row>
    <row r="50" spans="1:1" ht="23.25" customHeight="1">
      <c r="A50" s="92" t="s">
        <v>542</v>
      </c>
    </row>
    <row r="51" spans="1:1" ht="72.75" customHeight="1">
      <c r="A51" s="330" t="s">
        <v>557</v>
      </c>
    </row>
    <row r="52" spans="1:1" ht="29.25" customHeight="1">
      <c r="A52" s="330" t="s">
        <v>543</v>
      </c>
    </row>
    <row r="54" spans="1:1" ht="72" customHeight="1">
      <c r="A54" s="330" t="s">
        <v>544</v>
      </c>
    </row>
    <row r="56" spans="1:1" ht="67.5" customHeight="1">
      <c r="A56" s="330" t="s">
        <v>545</v>
      </c>
    </row>
    <row r="57" spans="1:1">
      <c r="A57" s="330"/>
    </row>
    <row r="58" spans="1:1" ht="53.25" customHeight="1">
      <c r="A58" s="330" t="s">
        <v>546</v>
      </c>
    </row>
    <row r="59" spans="1:1" ht="70.5" customHeight="1">
      <c r="A59" s="573" t="s">
        <v>704</v>
      </c>
    </row>
    <row r="60" spans="1:1" ht="53.25" customHeight="1">
      <c r="A60" s="573" t="s">
        <v>705</v>
      </c>
    </row>
    <row r="61" spans="1:1" ht="53.25" customHeight="1">
      <c r="A61" s="574" t="s">
        <v>706</v>
      </c>
    </row>
    <row r="62" spans="1:1" ht="68.25" customHeight="1">
      <c r="A62" s="573" t="s">
        <v>707</v>
      </c>
    </row>
    <row r="63" spans="1:1" ht="69" customHeight="1">
      <c r="A63" s="330" t="s">
        <v>708</v>
      </c>
    </row>
    <row r="64" spans="1:1" ht="90" customHeight="1">
      <c r="A64" s="330" t="s">
        <v>709</v>
      </c>
    </row>
    <row r="65" spans="1:1" ht="113.25" customHeight="1">
      <c r="A65" s="350" t="s">
        <v>710</v>
      </c>
    </row>
    <row r="66" spans="1:1" ht="105.75" customHeight="1">
      <c r="A66" s="351" t="s">
        <v>711</v>
      </c>
    </row>
    <row r="67" spans="1:1" ht="77.25" customHeight="1">
      <c r="A67" s="352" t="s">
        <v>712</v>
      </c>
    </row>
    <row r="68" spans="1:1" ht="91.5" customHeight="1">
      <c r="A68" s="330" t="s">
        <v>713</v>
      </c>
    </row>
    <row r="69" spans="1:1" ht="113.25" customHeight="1">
      <c r="A69" s="353" t="s">
        <v>714</v>
      </c>
    </row>
    <row r="70" spans="1:1" ht="11.25" customHeight="1">
      <c r="A70" s="330"/>
    </row>
    <row r="71" spans="1:1" ht="120.75" customHeight="1">
      <c r="A71" s="330" t="s">
        <v>547</v>
      </c>
    </row>
    <row r="72" spans="1:1" ht="108" customHeight="1">
      <c r="A72" s="349" t="s">
        <v>548</v>
      </c>
    </row>
    <row r="73" spans="1:1" ht="66" customHeight="1">
      <c r="A73" s="349" t="s">
        <v>549</v>
      </c>
    </row>
    <row r="74" spans="1:1" ht="21" customHeight="1">
      <c r="A74" s="330" t="s">
        <v>550</v>
      </c>
    </row>
    <row r="75" spans="1:1" ht="11.25" customHeight="1">
      <c r="A75" s="330"/>
    </row>
    <row r="76" spans="1:1" s="330" customFormat="1" ht="50.25" customHeight="1">
      <c r="A76" s="330" t="s">
        <v>551</v>
      </c>
    </row>
    <row r="77" spans="1:1" s="330" customFormat="1" ht="23.25" customHeight="1">
      <c r="A77" s="330" t="s">
        <v>554</v>
      </c>
    </row>
    <row r="78" spans="1:1" s="330" customFormat="1" ht="70.5" customHeight="1">
      <c r="A78" s="573" t="s">
        <v>715</v>
      </c>
    </row>
    <row r="79" spans="1:1" s="330" customFormat="1" ht="88.5" customHeight="1">
      <c r="A79" s="573" t="s">
        <v>716</v>
      </c>
    </row>
    <row r="80" spans="1:1" s="330" customFormat="1" ht="43.5" customHeight="1">
      <c r="A80" s="330" t="s">
        <v>717</v>
      </c>
    </row>
    <row r="81" spans="1:1" s="330" customFormat="1" ht="54" customHeight="1">
      <c r="A81" s="330" t="s">
        <v>718</v>
      </c>
    </row>
    <row r="83" spans="1:1" s="330" customFormat="1" ht="33.75" customHeight="1">
      <c r="A83" s="330" t="s">
        <v>552</v>
      </c>
    </row>
    <row r="85" spans="1:1" ht="21.75" customHeight="1">
      <c r="A85" s="330" t="s">
        <v>553</v>
      </c>
    </row>
    <row r="87" spans="1:1" ht="49.5" customHeight="1">
      <c r="A87" s="573" t="s">
        <v>719</v>
      </c>
    </row>
    <row r="88" spans="1:1" ht="81.75" customHeight="1">
      <c r="A88" s="573" t="s">
        <v>720</v>
      </c>
    </row>
    <row r="89" spans="1:1" ht="97.5" customHeight="1">
      <c r="A89" s="573" t="s">
        <v>721</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1" t="s">
        <v>304</v>
      </c>
    </row>
    <row r="2" spans="1:1" ht="15.75">
      <c r="A2" s="92"/>
    </row>
    <row r="3" spans="1:1" ht="47.25">
      <c r="A3" s="332" t="s">
        <v>305</v>
      </c>
    </row>
    <row r="4" spans="1:1" ht="15.75">
      <c r="A4" s="333"/>
    </row>
    <row r="5" spans="1:1" ht="15.75">
      <c r="A5" s="92"/>
    </row>
    <row r="6" spans="1:1" ht="63">
      <c r="A6" s="332" t="s">
        <v>306</v>
      </c>
    </row>
    <row r="7" spans="1:1" ht="15.75">
      <c r="A7" s="333"/>
    </row>
    <row r="8" spans="1:1" ht="15.75">
      <c r="A8" s="92"/>
    </row>
    <row r="9" spans="1:1" ht="47.25">
      <c r="A9" s="332" t="s">
        <v>307</v>
      </c>
    </row>
    <row r="10" spans="1:1" ht="15.75">
      <c r="A10" s="333"/>
    </row>
    <row r="11" spans="1:1" ht="15.75">
      <c r="A11" s="333"/>
    </row>
    <row r="12" spans="1:1" ht="31.5">
      <c r="A12" s="332" t="s">
        <v>308</v>
      </c>
    </row>
    <row r="13" spans="1:1" ht="15.75">
      <c r="A13" s="92"/>
    </row>
    <row r="14" spans="1:1" ht="15.75">
      <c r="A14" s="92"/>
    </row>
    <row r="15" spans="1:1" ht="47.25">
      <c r="A15" s="332" t="s">
        <v>309</v>
      </c>
    </row>
    <row r="16" spans="1:1" ht="15.75">
      <c r="A16" s="92"/>
    </row>
    <row r="17" spans="1:1" ht="15.75">
      <c r="A17" s="92"/>
    </row>
    <row r="18" spans="1:1" ht="63">
      <c r="A18" s="511" t="s">
        <v>668</v>
      </c>
    </row>
    <row r="19" spans="1:1" ht="15.75">
      <c r="A19" s="92"/>
    </row>
    <row r="20" spans="1:1" ht="15.75">
      <c r="A20" s="92"/>
    </row>
    <row r="21" spans="1:1" ht="63">
      <c r="A21" s="354" t="s">
        <v>310</v>
      </c>
    </row>
    <row r="22" spans="1:1" ht="15.75">
      <c r="A22" s="333"/>
    </row>
    <row r="23" spans="1:1" ht="15.75">
      <c r="A23" s="92"/>
    </row>
    <row r="24" spans="1:1" ht="63">
      <c r="A24" s="332" t="s">
        <v>311</v>
      </c>
    </row>
    <row r="25" spans="1:1" ht="47.25">
      <c r="A25" s="334" t="s">
        <v>312</v>
      </c>
    </row>
    <row r="26" spans="1:1" ht="15.75">
      <c r="A26" s="333"/>
    </row>
    <row r="27" spans="1:1" ht="15.75">
      <c r="A27" s="92"/>
    </row>
    <row r="28" spans="1:1" ht="63">
      <c r="A28" s="511" t="s">
        <v>669</v>
      </c>
    </row>
    <row r="29" spans="1:1" ht="15.75">
      <c r="A29" s="92"/>
    </row>
    <row r="30" spans="1:1" ht="15.75">
      <c r="A30" s="92"/>
    </row>
    <row r="31" spans="1:1" ht="78.75">
      <c r="A31" s="511" t="s">
        <v>670</v>
      </c>
    </row>
    <row r="32" spans="1:1" ht="15.75">
      <c r="A32" s="92"/>
    </row>
    <row r="33" spans="1:1" ht="15.75">
      <c r="A33" s="92"/>
    </row>
    <row r="34" spans="1:1" ht="47.25">
      <c r="A34" s="512" t="s">
        <v>671</v>
      </c>
    </row>
    <row r="35" spans="1:1" ht="15.75">
      <c r="A35" s="92"/>
    </row>
    <row r="36" spans="1:1" ht="15.75">
      <c r="A36" s="92"/>
    </row>
    <row r="37" spans="1:1" ht="78.75">
      <c r="A37" s="332" t="s">
        <v>313</v>
      </c>
    </row>
    <row r="38" spans="1:1" ht="15.75">
      <c r="A38" s="333"/>
    </row>
    <row r="39" spans="1:1" ht="15.75">
      <c r="A39" s="333"/>
    </row>
    <row r="40" spans="1:1" ht="47.25">
      <c r="A40" s="354" t="s">
        <v>314</v>
      </c>
    </row>
    <row r="41" spans="1:1" ht="15.75">
      <c r="A41" s="333"/>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C30" sqref="C30"/>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Ohio/Princeton Fire</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83</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56</v>
      </c>
      <c r="C6" s="98" t="s">
        <v>65</v>
      </c>
      <c r="D6" s="98"/>
      <c r="E6" s="98" t="s">
        <v>31</v>
      </c>
      <c r="F6" s="190"/>
      <c r="G6" s="191"/>
      <c r="H6" s="190" t="s">
        <v>57</v>
      </c>
      <c r="I6" s="191"/>
      <c r="J6" s="190" t="s">
        <v>57</v>
      </c>
      <c r="K6" s="191"/>
    </row>
    <row r="7" spans="1:11" s="188" customFormat="1">
      <c r="A7" s="18"/>
      <c r="B7" s="101" t="s">
        <v>58</v>
      </c>
      <c r="C7" s="101" t="s">
        <v>59</v>
      </c>
      <c r="D7" s="101" t="s">
        <v>31</v>
      </c>
      <c r="E7" s="101" t="s">
        <v>130</v>
      </c>
      <c r="F7" s="192" t="s">
        <v>60</v>
      </c>
      <c r="G7" s="193"/>
      <c r="H7" s="192">
        <f>K1-1</f>
        <v>2013</v>
      </c>
      <c r="I7" s="193"/>
      <c r="J7" s="192">
        <f>K1</f>
        <v>2014</v>
      </c>
      <c r="K7" s="193"/>
    </row>
    <row r="8" spans="1:11" s="188" customFormat="1">
      <c r="A8" s="194" t="s">
        <v>61</v>
      </c>
      <c r="B8" s="110" t="s">
        <v>62</v>
      </c>
      <c r="C8" s="110" t="s">
        <v>43</v>
      </c>
      <c r="D8" s="110" t="s">
        <v>63</v>
      </c>
      <c r="E8" s="195" t="str">
        <f>CONCATENATE("Jan 1,",K1-1,"")</f>
        <v>Jan 1,2013</v>
      </c>
      <c r="F8" s="107" t="s">
        <v>65</v>
      </c>
      <c r="G8" s="107" t="s">
        <v>66</v>
      </c>
      <c r="H8" s="107" t="s">
        <v>65</v>
      </c>
      <c r="I8" s="107" t="s">
        <v>66</v>
      </c>
      <c r="J8" s="107" t="s">
        <v>65</v>
      </c>
      <c r="K8" s="107" t="s">
        <v>66</v>
      </c>
    </row>
    <row r="9" spans="1:11" s="188" customFormat="1">
      <c r="A9" s="35" t="s">
        <v>174</v>
      </c>
      <c r="B9" s="196"/>
      <c r="C9" s="35"/>
      <c r="D9" s="35"/>
      <c r="E9" s="35"/>
      <c r="F9" s="197"/>
      <c r="G9" s="197"/>
      <c r="H9" s="35"/>
      <c r="I9" s="35"/>
      <c r="J9" s="35"/>
      <c r="K9" s="35"/>
    </row>
    <row r="10" spans="1:11" s="188" customFormat="1">
      <c r="A10" s="198"/>
      <c r="B10" s="400"/>
      <c r="C10" s="198"/>
      <c r="D10" s="198"/>
      <c r="E10" s="55"/>
      <c r="F10" s="199"/>
      <c r="G10" s="199"/>
      <c r="H10" s="198"/>
      <c r="I10" s="198"/>
      <c r="J10" s="198"/>
      <c r="K10" s="198"/>
    </row>
    <row r="11" spans="1:11" s="188" customFormat="1">
      <c r="A11" s="36"/>
      <c r="B11" s="401"/>
      <c r="C11" s="200"/>
      <c r="D11" s="37"/>
      <c r="E11" s="37"/>
      <c r="F11" s="201"/>
      <c r="G11" s="201"/>
      <c r="H11" s="202"/>
      <c r="I11" s="202"/>
      <c r="J11" s="202"/>
      <c r="K11" s="202"/>
    </row>
    <row r="12" spans="1:11" s="188" customFormat="1">
      <c r="A12" s="203" t="s">
        <v>175</v>
      </c>
      <c r="B12" s="204"/>
      <c r="C12" s="205"/>
      <c r="D12" s="206"/>
      <c r="E12" s="207">
        <f>SUM(E10:E11)</f>
        <v>0</v>
      </c>
      <c r="F12" s="208"/>
      <c r="G12" s="208"/>
      <c r="H12" s="207">
        <f>SUM(H10:H11)</f>
        <v>0</v>
      </c>
      <c r="I12" s="207">
        <f>SUM(I10:I11)</f>
        <v>0</v>
      </c>
      <c r="J12" s="207">
        <f>SUM(J10:J11)</f>
        <v>0</v>
      </c>
      <c r="K12" s="207">
        <f>SUM(K10:K11)</f>
        <v>0</v>
      </c>
    </row>
    <row r="13" spans="1:11" s="188" customFormat="1">
      <c r="A13" s="203" t="s">
        <v>176</v>
      </c>
      <c r="B13" s="204"/>
      <c r="C13" s="205"/>
      <c r="D13" s="206"/>
      <c r="E13" s="121"/>
      <c r="F13" s="208"/>
      <c r="G13" s="208"/>
      <c r="H13" s="121"/>
      <c r="I13" s="121"/>
      <c r="J13" s="121"/>
      <c r="K13" s="121"/>
    </row>
    <row r="14" spans="1:11" s="188" customFormat="1">
      <c r="A14" s="36"/>
      <c r="B14" s="401"/>
      <c r="C14" s="200"/>
      <c r="D14" s="37"/>
      <c r="E14" s="202"/>
      <c r="F14" s="201"/>
      <c r="G14" s="201"/>
      <c r="H14" s="202"/>
      <c r="I14" s="202"/>
      <c r="J14" s="202"/>
      <c r="K14" s="202"/>
    </row>
    <row r="15" spans="1:11" s="188" customFormat="1">
      <c r="A15" s="36"/>
      <c r="B15" s="401"/>
      <c r="C15" s="200"/>
      <c r="D15" s="37"/>
      <c r="E15" s="202"/>
      <c r="F15" s="201"/>
      <c r="G15" s="201"/>
      <c r="H15" s="202"/>
      <c r="I15" s="202"/>
      <c r="J15" s="202"/>
      <c r="K15" s="202"/>
    </row>
    <row r="16" spans="1:11" s="188" customFormat="1">
      <c r="A16" s="203" t="s">
        <v>177</v>
      </c>
      <c r="B16" s="204"/>
      <c r="C16" s="205"/>
      <c r="D16" s="206"/>
      <c r="E16" s="121">
        <f>SUM(E14:E15)</f>
        <v>0</v>
      </c>
      <c r="F16" s="208"/>
      <c r="G16" s="208"/>
      <c r="H16" s="207">
        <f>SUM(H14:H15)</f>
        <v>0</v>
      </c>
      <c r="I16" s="207">
        <f>SUM(I14:I15)</f>
        <v>0</v>
      </c>
      <c r="J16" s="207">
        <f>SUM(J14:J15)</f>
        <v>0</v>
      </c>
      <c r="K16" s="207">
        <f>SUM(K14:K15)</f>
        <v>0</v>
      </c>
    </row>
    <row r="17" spans="1:24" s="188" customFormat="1">
      <c r="A17" s="203" t="s">
        <v>178</v>
      </c>
      <c r="B17" s="204"/>
      <c r="C17" s="205"/>
      <c r="D17" s="206"/>
      <c r="E17" s="121"/>
      <c r="F17" s="208"/>
      <c r="G17" s="208"/>
      <c r="H17" s="121"/>
      <c r="I17" s="121"/>
      <c r="J17" s="121"/>
      <c r="K17" s="121"/>
    </row>
    <row r="18" spans="1:24" s="188" customFormat="1">
      <c r="A18" s="36"/>
      <c r="B18" s="401"/>
      <c r="C18" s="200"/>
      <c r="D18" s="37"/>
      <c r="E18" s="202"/>
      <c r="F18" s="201"/>
      <c r="G18" s="201"/>
      <c r="H18" s="202"/>
      <c r="I18" s="202"/>
      <c r="J18" s="202"/>
      <c r="K18" s="202"/>
    </row>
    <row r="19" spans="1:24" s="188" customFormat="1">
      <c r="A19" s="36"/>
      <c r="B19" s="401"/>
      <c r="C19" s="200"/>
      <c r="D19" s="37"/>
      <c r="E19" s="202"/>
      <c r="F19" s="201"/>
      <c r="G19" s="201"/>
      <c r="H19" s="202"/>
      <c r="I19" s="202"/>
      <c r="J19" s="202"/>
      <c r="K19" s="202"/>
    </row>
    <row r="20" spans="1:24" s="188" customFormat="1">
      <c r="A20" s="38" t="s">
        <v>179</v>
      </c>
      <c r="B20" s="209"/>
      <c r="C20" s="210"/>
      <c r="D20" s="47"/>
      <c r="E20" s="207">
        <f>SUM(E18:E19)</f>
        <v>0</v>
      </c>
      <c r="F20" s="208"/>
      <c r="G20" s="208"/>
      <c r="H20" s="207">
        <f>SUM(H18:H19)</f>
        <v>0</v>
      </c>
      <c r="I20" s="207">
        <f>SUM(I18:I19)</f>
        <v>0</v>
      </c>
      <c r="J20" s="207">
        <f>SUM(J18:J19)</f>
        <v>0</v>
      </c>
      <c r="K20" s="207">
        <f>SUM(K18:K19)</f>
        <v>0</v>
      </c>
    </row>
    <row r="21" spans="1:24" s="188" customFormat="1">
      <c r="A21" s="211" t="s">
        <v>84</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78</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64</v>
      </c>
      <c r="D25" s="220"/>
      <c r="E25" s="98" t="s">
        <v>13</v>
      </c>
      <c r="F25" s="220"/>
      <c r="G25" s="220"/>
      <c r="H25" s="220"/>
      <c r="I25" s="221"/>
      <c r="J25" s="222"/>
      <c r="K25" s="218"/>
    </row>
    <row r="26" spans="1:24" s="219" customFormat="1">
      <c r="A26" s="223"/>
      <c r="B26" s="101"/>
      <c r="C26" s="101" t="s">
        <v>58</v>
      </c>
      <c r="D26" s="101" t="s">
        <v>65</v>
      </c>
      <c r="E26" s="101" t="s">
        <v>31</v>
      </c>
      <c r="F26" s="101" t="s">
        <v>66</v>
      </c>
      <c r="G26" s="101" t="s">
        <v>67</v>
      </c>
      <c r="H26" s="101" t="s">
        <v>67</v>
      </c>
      <c r="I26" s="218"/>
      <c r="J26" s="218"/>
      <c r="K26" s="218"/>
    </row>
    <row r="27" spans="1:24" s="219" customFormat="1">
      <c r="A27" s="223"/>
      <c r="B27" s="101" t="s">
        <v>68</v>
      </c>
      <c r="C27" s="101" t="s">
        <v>69</v>
      </c>
      <c r="D27" s="101" t="s">
        <v>59</v>
      </c>
      <c r="E27" s="101" t="s">
        <v>70</v>
      </c>
      <c r="F27" s="101" t="s">
        <v>110</v>
      </c>
      <c r="G27" s="101" t="s">
        <v>71</v>
      </c>
      <c r="H27" s="101" t="s">
        <v>71</v>
      </c>
      <c r="I27" s="218"/>
      <c r="J27" s="218"/>
      <c r="K27" s="218"/>
    </row>
    <row r="28" spans="1:24" s="219" customFormat="1">
      <c r="A28" s="224" t="s">
        <v>72</v>
      </c>
      <c r="B28" s="110" t="s">
        <v>56</v>
      </c>
      <c r="C28" s="225" t="s">
        <v>73</v>
      </c>
      <c r="D28" s="110" t="s">
        <v>43</v>
      </c>
      <c r="E28" s="225" t="s">
        <v>131</v>
      </c>
      <c r="F28" s="195" t="str">
        <f>E8</f>
        <v>Jan 1,2013</v>
      </c>
      <c r="G28" s="110">
        <f>K1-1</f>
        <v>2013</v>
      </c>
      <c r="H28" s="110">
        <f>K1</f>
        <v>2014</v>
      </c>
      <c r="I28" s="218"/>
      <c r="J28" s="218"/>
      <c r="K28" s="218"/>
    </row>
    <row r="29" spans="1:24" s="219" customFormat="1">
      <c r="A29" s="36" t="s">
        <v>752</v>
      </c>
      <c r="B29" s="401"/>
      <c r="C29" s="226">
        <v>36</v>
      </c>
      <c r="D29" s="200">
        <v>4</v>
      </c>
      <c r="E29" s="37">
        <v>22000</v>
      </c>
      <c r="F29" s="37">
        <v>16064</v>
      </c>
      <c r="G29" s="37">
        <v>8032</v>
      </c>
      <c r="H29" s="37">
        <v>8032</v>
      </c>
      <c r="I29" s="218"/>
      <c r="J29" s="218"/>
      <c r="K29" s="218"/>
    </row>
    <row r="30" spans="1:24" s="219" customFormat="1">
      <c r="A30" s="36"/>
      <c r="B30" s="401"/>
      <c r="C30" s="226"/>
      <c r="D30" s="200"/>
      <c r="E30" s="37"/>
      <c r="F30" s="37"/>
      <c r="G30" s="37"/>
      <c r="H30" s="37"/>
      <c r="I30" s="218"/>
      <c r="J30" s="218"/>
      <c r="K30" s="218"/>
    </row>
    <row r="31" spans="1:24" s="219" customFormat="1">
      <c r="A31" s="36"/>
      <c r="B31" s="401"/>
      <c r="C31" s="226"/>
      <c r="D31" s="200"/>
      <c r="E31" s="37"/>
      <c r="F31" s="37"/>
      <c r="G31" s="37"/>
      <c r="H31" s="37"/>
      <c r="I31" s="218"/>
      <c r="J31" s="218"/>
      <c r="K31" s="218"/>
    </row>
    <row r="32" spans="1:24" s="219" customFormat="1">
      <c r="A32" s="36"/>
      <c r="B32" s="401"/>
      <c r="C32" s="226"/>
      <c r="D32" s="200"/>
      <c r="E32" s="37"/>
      <c r="F32" s="37"/>
      <c r="G32" s="37"/>
      <c r="H32" s="37"/>
      <c r="I32" s="218"/>
      <c r="J32" s="218"/>
      <c r="K32" s="218"/>
    </row>
    <row r="33" spans="1:11" s="219" customFormat="1">
      <c r="A33" s="36"/>
      <c r="B33" s="401"/>
      <c r="C33" s="226"/>
      <c r="D33" s="200"/>
      <c r="E33" s="37"/>
      <c r="F33" s="37"/>
      <c r="G33" s="37"/>
      <c r="H33" s="37"/>
      <c r="I33" s="218"/>
      <c r="J33" s="218"/>
      <c r="K33" s="218"/>
    </row>
    <row r="34" spans="1:11" s="219" customFormat="1">
      <c r="A34" s="36"/>
      <c r="B34" s="401"/>
      <c r="C34" s="226"/>
      <c r="D34" s="200"/>
      <c r="E34" s="37"/>
      <c r="F34" s="37"/>
      <c r="G34" s="37"/>
      <c r="H34" s="37"/>
      <c r="I34" s="218"/>
      <c r="J34" s="218"/>
      <c r="K34" s="218"/>
    </row>
    <row r="35" spans="1:11" s="219" customFormat="1">
      <c r="A35" s="36"/>
      <c r="B35" s="401"/>
      <c r="C35" s="226"/>
      <c r="D35" s="200"/>
      <c r="E35" s="37"/>
      <c r="F35" s="37"/>
      <c r="G35" s="37"/>
      <c r="H35" s="37"/>
      <c r="I35" s="218"/>
      <c r="J35" s="218"/>
      <c r="K35" s="218"/>
    </row>
    <row r="36" spans="1:11" s="219" customFormat="1">
      <c r="A36" s="36"/>
      <c r="B36" s="401"/>
      <c r="C36" s="226"/>
      <c r="D36" s="200"/>
      <c r="E36" s="37"/>
      <c r="F36" s="37"/>
      <c r="G36" s="37"/>
      <c r="H36" s="37"/>
      <c r="I36" s="218"/>
      <c r="J36" s="218"/>
      <c r="K36" s="218"/>
    </row>
    <row r="37" spans="1:11" s="219" customFormat="1">
      <c r="A37" s="36"/>
      <c r="B37" s="401"/>
      <c r="C37" s="226"/>
      <c r="D37" s="200"/>
      <c r="E37" s="37"/>
      <c r="F37" s="37"/>
      <c r="G37" s="37"/>
      <c r="H37" s="37"/>
      <c r="I37" s="218"/>
      <c r="J37" s="218"/>
      <c r="K37" s="218"/>
    </row>
    <row r="38" spans="1:11" s="219" customFormat="1">
      <c r="A38" s="36"/>
      <c r="B38" s="401"/>
      <c r="C38" s="226"/>
      <c r="D38" s="200"/>
      <c r="E38" s="37"/>
      <c r="F38" s="37"/>
      <c r="G38" s="37"/>
      <c r="H38" s="37"/>
      <c r="I38" s="218"/>
      <c r="J38" s="218"/>
      <c r="K38" s="218"/>
    </row>
    <row r="39" spans="1:11" s="219" customFormat="1">
      <c r="A39" s="36"/>
      <c r="B39" s="401"/>
      <c r="C39" s="226"/>
      <c r="D39" s="200"/>
      <c r="E39" s="37"/>
      <c r="F39" s="37"/>
      <c r="G39" s="37"/>
      <c r="H39" s="37"/>
      <c r="I39" s="218"/>
      <c r="J39" s="218"/>
      <c r="K39" s="218"/>
    </row>
    <row r="40" spans="1:11" s="219" customFormat="1">
      <c r="A40" s="36"/>
      <c r="B40" s="401"/>
      <c r="C40" s="226"/>
      <c r="D40" s="200"/>
      <c r="E40" s="37"/>
      <c r="F40" s="37"/>
      <c r="G40" s="37"/>
      <c r="H40" s="37"/>
      <c r="I40" s="218"/>
      <c r="J40" s="218"/>
      <c r="K40" s="218"/>
    </row>
    <row r="41" spans="1:11" s="188" customFormat="1">
      <c r="A41" s="227" t="s">
        <v>84</v>
      </c>
      <c r="B41" s="228"/>
      <c r="C41" s="229"/>
      <c r="D41" s="230"/>
      <c r="E41" s="231">
        <f>SUM(E29:E40)</f>
        <v>22000</v>
      </c>
      <c r="F41" s="232">
        <f>SUM(F29:F40)</f>
        <v>16064</v>
      </c>
      <c r="G41" s="232">
        <f>SUM(G29:G40)</f>
        <v>8032</v>
      </c>
      <c r="H41" s="232">
        <f>SUM(H29:H40)</f>
        <v>8032</v>
      </c>
      <c r="I41" s="189"/>
      <c r="J41" s="189"/>
      <c r="K41" s="73"/>
    </row>
    <row r="42" spans="1:11">
      <c r="A42" s="54"/>
      <c r="B42" s="54"/>
      <c r="C42" s="54"/>
      <c r="D42" s="54"/>
      <c r="E42" s="54"/>
      <c r="F42" s="54"/>
      <c r="G42" s="54"/>
      <c r="H42" s="54"/>
      <c r="I42" s="18"/>
      <c r="J42" s="18"/>
      <c r="K42" s="18"/>
    </row>
    <row r="43" spans="1:11">
      <c r="A43" s="233" t="s">
        <v>229</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34" workbookViewId="0">
      <selection activeCell="E40" sqref="E4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Ohio/Princeton Fire</v>
      </c>
      <c r="C1" s="234"/>
      <c r="D1" s="18"/>
      <c r="E1" s="185"/>
    </row>
    <row r="2" spans="2:6">
      <c r="B2" s="18" t="str">
        <f>inputPrYr!D4</f>
        <v>Franklin County</v>
      </c>
      <c r="C2" s="234"/>
      <c r="D2" s="18"/>
      <c r="E2" s="138"/>
    </row>
    <row r="3" spans="2:6">
      <c r="B3" s="544" t="s">
        <v>79</v>
      </c>
      <c r="C3" s="234"/>
      <c r="D3" s="18"/>
      <c r="E3" s="235"/>
      <c r="F3" s="185">
        <f>inputPrYr!$D$6</f>
        <v>2014</v>
      </c>
    </row>
    <row r="4" spans="2:6">
      <c r="B4" s="18"/>
      <c r="C4" s="96"/>
      <c r="D4" s="96"/>
      <c r="E4" s="96"/>
    </row>
    <row r="5" spans="2:6">
      <c r="B5" s="17" t="s">
        <v>32</v>
      </c>
      <c r="C5" s="390" t="s">
        <v>247</v>
      </c>
      <c r="D5" s="391" t="s">
        <v>246</v>
      </c>
      <c r="E5" s="236" t="s">
        <v>243</v>
      </c>
    </row>
    <row r="6" spans="2:6">
      <c r="B6" s="415" t="str">
        <f>inputPrYr!B19</f>
        <v>General</v>
      </c>
      <c r="C6" s="392" t="str">
        <f>CONCATENATE("Actual ",F3-2,"")</f>
        <v>Actual 2012</v>
      </c>
      <c r="D6" s="392" t="str">
        <f>CONCATENATE("Estimate ",F3-1,"")</f>
        <v>Estimate 2013</v>
      </c>
      <c r="E6" s="237" t="str">
        <f>CONCATENATE("Year ",F3,"")</f>
        <v>Year 2014</v>
      </c>
    </row>
    <row r="7" spans="2:6">
      <c r="B7" s="115" t="s">
        <v>123</v>
      </c>
      <c r="C7" s="386">
        <v>4202</v>
      </c>
      <c r="D7" s="393">
        <f>C51</f>
        <v>12780.919999999998</v>
      </c>
      <c r="E7" s="47">
        <f>D51</f>
        <v>12390.919999999998</v>
      </c>
    </row>
    <row r="8" spans="2:6">
      <c r="B8" s="239" t="s">
        <v>125</v>
      </c>
      <c r="C8" s="240"/>
      <c r="D8" s="240"/>
      <c r="E8" s="121"/>
    </row>
    <row r="9" spans="2:6">
      <c r="B9" s="115" t="s">
        <v>33</v>
      </c>
      <c r="C9" s="386">
        <v>38088</v>
      </c>
      <c r="D9" s="393">
        <f>inputPrYr!E19</f>
        <v>31708</v>
      </c>
      <c r="E9" s="128" t="s">
        <v>28</v>
      </c>
    </row>
    <row r="10" spans="2:6">
      <c r="B10" s="115" t="s">
        <v>34</v>
      </c>
      <c r="C10" s="386"/>
      <c r="D10" s="386"/>
      <c r="E10" s="202"/>
    </row>
    <row r="11" spans="2:6">
      <c r="B11" s="115" t="s">
        <v>35</v>
      </c>
      <c r="C11" s="386">
        <v>0</v>
      </c>
      <c r="D11" s="386">
        <v>4676</v>
      </c>
      <c r="E11" s="47">
        <f>mvalloc!D11</f>
        <v>4481</v>
      </c>
    </row>
    <row r="12" spans="2:6">
      <c r="B12" s="115" t="s">
        <v>36</v>
      </c>
      <c r="C12" s="386">
        <v>0</v>
      </c>
      <c r="D12" s="386">
        <v>159</v>
      </c>
      <c r="E12" s="47">
        <f>mvalloc!E11</f>
        <v>120</v>
      </c>
    </row>
    <row r="13" spans="2:6">
      <c r="B13" s="240" t="s">
        <v>107</v>
      </c>
      <c r="C13" s="386">
        <v>0</v>
      </c>
      <c r="D13" s="386">
        <v>367</v>
      </c>
      <c r="E13" s="47">
        <f>mvalloc!F11</f>
        <v>358</v>
      </c>
    </row>
    <row r="14" spans="2:6">
      <c r="B14" s="240" t="s">
        <v>153</v>
      </c>
      <c r="C14" s="386"/>
      <c r="D14" s="386"/>
      <c r="E14" s="47">
        <f>inputOth!E30</f>
        <v>0</v>
      </c>
    </row>
    <row r="15" spans="2:6">
      <c r="B15" s="240" t="s">
        <v>154</v>
      </c>
      <c r="C15" s="386"/>
      <c r="D15" s="386"/>
      <c r="E15" s="47">
        <f>mvalloc!G11</f>
        <v>0</v>
      </c>
    </row>
    <row r="16" spans="2:6">
      <c r="B16" s="241" t="s">
        <v>37</v>
      </c>
      <c r="C16" s="386"/>
      <c r="D16" s="386"/>
      <c r="E16" s="202"/>
    </row>
    <row r="17" spans="2:5">
      <c r="B17" s="241" t="s">
        <v>737</v>
      </c>
      <c r="C17" s="386"/>
      <c r="D17" s="386"/>
      <c r="E17" s="202"/>
    </row>
    <row r="18" spans="2:5">
      <c r="B18" s="241" t="s">
        <v>738</v>
      </c>
      <c r="C18" s="386">
        <v>202</v>
      </c>
      <c r="D18" s="386"/>
      <c r="E18" s="202"/>
    </row>
    <row r="19" spans="2:5">
      <c r="B19" s="241" t="s">
        <v>747</v>
      </c>
      <c r="C19" s="386">
        <v>3000</v>
      </c>
      <c r="D19" s="386"/>
      <c r="E19" s="202"/>
    </row>
    <row r="20" spans="2:5">
      <c r="B20" s="241" t="s">
        <v>749</v>
      </c>
      <c r="C20" s="386">
        <v>1950</v>
      </c>
      <c r="D20" s="386"/>
      <c r="E20" s="202"/>
    </row>
    <row r="21" spans="2:5">
      <c r="B21" s="241"/>
      <c r="C21" s="386"/>
      <c r="D21" s="386"/>
      <c r="E21" s="202"/>
    </row>
    <row r="22" spans="2:5">
      <c r="B22" s="241"/>
      <c r="C22" s="386"/>
      <c r="D22" s="386"/>
      <c r="E22" s="202"/>
    </row>
    <row r="23" spans="2:5">
      <c r="B23" s="241"/>
      <c r="C23" s="386"/>
      <c r="D23" s="386"/>
      <c r="E23" s="202"/>
    </row>
    <row r="24" spans="2:5">
      <c r="B24" s="242"/>
      <c r="C24" s="386"/>
      <c r="D24" s="386"/>
      <c r="E24" s="202"/>
    </row>
    <row r="25" spans="2:5">
      <c r="B25" s="242" t="s">
        <v>38</v>
      </c>
      <c r="C25" s="386">
        <v>11</v>
      </c>
      <c r="D25" s="386"/>
      <c r="E25" s="202"/>
    </row>
    <row r="26" spans="2:5">
      <c r="B26" s="243" t="s">
        <v>216</v>
      </c>
      <c r="C26" s="241"/>
      <c r="D26" s="241"/>
      <c r="E26" s="202"/>
    </row>
    <row r="27" spans="2:5">
      <c r="B27" s="243" t="s">
        <v>570</v>
      </c>
      <c r="C27" s="387" t="str">
        <f>IF(C28*0.1&lt;C26,"Exceed 10% Rule","")</f>
        <v/>
      </c>
      <c r="D27" s="387" t="str">
        <f>IF(D28*0.1&lt;D26,"Exceed 10% Rule","")</f>
        <v/>
      </c>
      <c r="E27" s="413" t="str">
        <f>IF(E28*0.1+E57&lt;E26,"Exceed 10% Rule","")</f>
        <v/>
      </c>
    </row>
    <row r="28" spans="2:5">
      <c r="B28" s="246" t="s">
        <v>39</v>
      </c>
      <c r="C28" s="388">
        <f>SUM(C9:C26)</f>
        <v>43251</v>
      </c>
      <c r="D28" s="388">
        <f>SUM(D9:D26)</f>
        <v>36910</v>
      </c>
      <c r="E28" s="247">
        <f>SUM(E9:E26)</f>
        <v>4959</v>
      </c>
    </row>
    <row r="29" spans="2:5">
      <c r="B29" s="246" t="s">
        <v>40</v>
      </c>
      <c r="C29" s="388">
        <f>C7+C28</f>
        <v>47453</v>
      </c>
      <c r="D29" s="388">
        <f>D7+D28</f>
        <v>49690.92</v>
      </c>
      <c r="E29" s="247">
        <f>E7+E28</f>
        <v>17349.919999999998</v>
      </c>
    </row>
    <row r="30" spans="2:5">
      <c r="B30" s="115" t="s">
        <v>41</v>
      </c>
      <c r="C30" s="119"/>
      <c r="D30" s="119"/>
      <c r="E30" s="38"/>
    </row>
    <row r="31" spans="2:5">
      <c r="B31" s="241" t="s">
        <v>739</v>
      </c>
      <c r="C31" s="386"/>
      <c r="D31" s="386">
        <v>250</v>
      </c>
      <c r="E31" s="202">
        <v>500</v>
      </c>
    </row>
    <row r="32" spans="2:5">
      <c r="B32" s="241" t="s">
        <v>740</v>
      </c>
      <c r="C32" s="386">
        <v>164.08</v>
      </c>
      <c r="D32" s="386">
        <v>300</v>
      </c>
      <c r="E32" s="202">
        <v>400</v>
      </c>
    </row>
    <row r="33" spans="2:10">
      <c r="B33" s="241" t="s">
        <v>741</v>
      </c>
      <c r="C33" s="386">
        <v>1285</v>
      </c>
      <c r="D33" s="386">
        <v>2100</v>
      </c>
      <c r="E33" s="202">
        <v>2800</v>
      </c>
    </row>
    <row r="34" spans="2:10">
      <c r="B34" s="241" t="s">
        <v>742</v>
      </c>
      <c r="C34" s="386">
        <v>5217</v>
      </c>
      <c r="D34" s="386">
        <v>5400</v>
      </c>
      <c r="E34" s="202">
        <v>5400</v>
      </c>
    </row>
    <row r="35" spans="2:10">
      <c r="B35" s="241" t="s">
        <v>743</v>
      </c>
      <c r="C35" s="386">
        <v>694</v>
      </c>
      <c r="D35" s="386">
        <v>300</v>
      </c>
      <c r="E35" s="202">
        <v>750</v>
      </c>
    </row>
    <row r="36" spans="2:10">
      <c r="B36" s="241" t="s">
        <v>744</v>
      </c>
      <c r="C36" s="386">
        <v>863</v>
      </c>
      <c r="D36" s="386">
        <v>950</v>
      </c>
      <c r="E36" s="202">
        <v>1000</v>
      </c>
    </row>
    <row r="37" spans="2:10">
      <c r="B37" s="241" t="s">
        <v>745</v>
      </c>
      <c r="C37" s="386">
        <v>5170</v>
      </c>
      <c r="D37" s="386">
        <v>3750</v>
      </c>
      <c r="E37" s="202">
        <v>4000</v>
      </c>
    </row>
    <row r="38" spans="2:10">
      <c r="B38" s="241" t="s">
        <v>746</v>
      </c>
      <c r="C38" s="386">
        <v>6025</v>
      </c>
      <c r="D38" s="386">
        <v>11000</v>
      </c>
      <c r="E38" s="202">
        <v>5000</v>
      </c>
    </row>
    <row r="39" spans="2:10">
      <c r="B39" s="241" t="s">
        <v>750</v>
      </c>
      <c r="C39" s="386">
        <v>14025</v>
      </c>
      <c r="D39" s="386">
        <v>13250</v>
      </c>
      <c r="E39" s="202">
        <v>29638</v>
      </c>
    </row>
    <row r="40" spans="2:10">
      <c r="B40" s="241" t="s">
        <v>748</v>
      </c>
      <c r="C40" s="386">
        <v>1229</v>
      </c>
      <c r="D40" s="386"/>
      <c r="E40" s="202"/>
    </row>
    <row r="41" spans="2:10">
      <c r="B41" s="241" t="s">
        <v>738</v>
      </c>
      <c r="C41" s="386"/>
      <c r="D41" s="386"/>
      <c r="E41" s="202"/>
    </row>
    <row r="42" spans="2:10">
      <c r="B42" s="241" t="s">
        <v>751</v>
      </c>
      <c r="C42" s="386"/>
      <c r="D42" s="386"/>
      <c r="E42" s="202"/>
    </row>
    <row r="43" spans="2:10">
      <c r="B43" s="241"/>
      <c r="C43" s="386"/>
      <c r="D43" s="386"/>
      <c r="E43" s="202"/>
      <c r="G43" s="622" t="str">
        <f>CONCATENATE("Projected Carryover Into ",F3+1,"")</f>
        <v>Projected Carryover Into 2015</v>
      </c>
      <c r="H43" s="623"/>
      <c r="I43" s="623"/>
      <c r="J43" s="624"/>
    </row>
    <row r="44" spans="2:10">
      <c r="B44" s="241"/>
      <c r="C44" s="386"/>
      <c r="D44" s="386"/>
      <c r="E44" s="202"/>
      <c r="G44" s="549"/>
      <c r="H44" s="534"/>
      <c r="I44" s="534"/>
      <c r="J44" s="533"/>
    </row>
    <row r="45" spans="2:10">
      <c r="B45" s="241"/>
      <c r="C45" s="386"/>
      <c r="D45" s="386"/>
      <c r="E45" s="202"/>
      <c r="G45" s="543">
        <f>D51</f>
        <v>12390.919999999998</v>
      </c>
      <c r="H45" s="542" t="str">
        <f>CONCATENATE("",F3-1," Ending Cash Balance (est.)")</f>
        <v>2013 Ending Cash Balance (est.)</v>
      </c>
      <c r="I45" s="532"/>
      <c r="J45" s="533"/>
    </row>
    <row r="46" spans="2:10">
      <c r="B46" s="241"/>
      <c r="C46" s="386"/>
      <c r="D46" s="386"/>
      <c r="E46" s="202"/>
      <c r="G46" s="543">
        <f>E28</f>
        <v>4959</v>
      </c>
      <c r="H46" s="532" t="str">
        <f>CONCATENATE("",F3," Non-AV Receipts (est.)")</f>
        <v>2014 Non-AV Receipts (est.)</v>
      </c>
      <c r="I46" s="532"/>
      <c r="J46" s="533"/>
    </row>
    <row r="47" spans="2:10">
      <c r="B47" s="119" t="s">
        <v>217</v>
      </c>
      <c r="C47" s="386"/>
      <c r="D47" s="386"/>
      <c r="E47" s="207" t="str">
        <f>Nhood!E7</f>
        <v/>
      </c>
      <c r="G47" s="531">
        <f>E57</f>
        <v>32138.080000000002</v>
      </c>
      <c r="H47" s="532" t="str">
        <f>CONCATENATE("",F3," Ad Valorem Tax (est.)")</f>
        <v>2014 Ad Valorem Tax (est.)</v>
      </c>
      <c r="I47" s="532"/>
      <c r="J47" s="533"/>
    </row>
    <row r="48" spans="2:10">
      <c r="B48" s="119" t="s">
        <v>216</v>
      </c>
      <c r="C48" s="386"/>
      <c r="D48" s="386"/>
      <c r="E48" s="37"/>
      <c r="G48" s="543">
        <f>SUM(G45:G47)</f>
        <v>49488</v>
      </c>
      <c r="H48" s="532" t="str">
        <f>CONCATENATE("Total ",E4," Resources Available")</f>
        <v>Total  Resources Available</v>
      </c>
      <c r="I48" s="532"/>
      <c r="J48" s="533"/>
    </row>
    <row r="49" spans="2:10">
      <c r="B49" s="119" t="s">
        <v>569</v>
      </c>
      <c r="C49" s="387" t="str">
        <f>IF(C50*0.1&lt;C48,"Exceed 10% Rule","")</f>
        <v/>
      </c>
      <c r="D49" s="387" t="str">
        <f>IF(D50*0.1&lt;D48,"Exceed 10% Rule","")</f>
        <v/>
      </c>
      <c r="E49" s="413" t="str">
        <f>IF(E50*0.1&lt;E48,"Exceed 10% Rule","")</f>
        <v/>
      </c>
      <c r="G49" s="530"/>
      <c r="H49" s="532"/>
      <c r="I49" s="532"/>
      <c r="J49" s="533"/>
    </row>
    <row r="50" spans="2:10">
      <c r="B50" s="246" t="s">
        <v>42</v>
      </c>
      <c r="C50" s="388">
        <f>SUM(C31:C48)</f>
        <v>34672.080000000002</v>
      </c>
      <c r="D50" s="388">
        <f>SUM(D31:D48)</f>
        <v>37300</v>
      </c>
      <c r="E50" s="247">
        <f>SUM(E31:E48)</f>
        <v>49488</v>
      </c>
      <c r="G50" s="531">
        <f>C50*0.05+C50</f>
        <v>36405.684000000001</v>
      </c>
      <c r="H50" s="532" t="str">
        <f>CONCATENATE("Less ",F3-2," Expenditures + 5%")</f>
        <v>Less 2012 Expenditures + 5%</v>
      </c>
      <c r="I50" s="532"/>
      <c r="J50" s="533"/>
    </row>
    <row r="51" spans="2:10">
      <c r="B51" s="115" t="s">
        <v>124</v>
      </c>
      <c r="C51" s="389">
        <f>C29-C50</f>
        <v>12780.919999999998</v>
      </c>
      <c r="D51" s="389">
        <f>D29-D50</f>
        <v>12390.919999999998</v>
      </c>
      <c r="E51" s="128" t="s">
        <v>28</v>
      </c>
      <c r="G51" s="529">
        <f>G48-G50</f>
        <v>13082.315999999999</v>
      </c>
      <c r="H51" s="528" t="str">
        <f>CONCATENATE("Projected ",F3+1," Carryover (est.)")</f>
        <v>Projected 2015 Carryover (est.)</v>
      </c>
      <c r="I51" s="514"/>
      <c r="J51" s="527"/>
    </row>
    <row r="52" spans="2:10">
      <c r="B52" s="138" t="str">
        <f>CONCATENATE("",F3-2,"/",F3-1," Budget Authority Amount:")</f>
        <v>2012/2013 Budget Authority Amount:</v>
      </c>
      <c r="C52" s="116">
        <f>inputOth!B42</f>
        <v>39600</v>
      </c>
      <c r="D52" s="414">
        <f>inputPrYr!D19</f>
        <v>48787</v>
      </c>
      <c r="E52" s="128" t="s">
        <v>28</v>
      </c>
      <c r="F52" s="248"/>
      <c r="G52" s="16"/>
      <c r="H52" s="16"/>
      <c r="I52" s="16"/>
      <c r="J52" s="16"/>
    </row>
    <row r="53" spans="2:10">
      <c r="B53" s="138"/>
      <c r="C53" s="618" t="s">
        <v>672</v>
      </c>
      <c r="D53" s="619"/>
      <c r="E53" s="37"/>
      <c r="F53" s="248" t="str">
        <f>IF(E50/0.95-E50&lt;E53,"Exceeds 5%","")</f>
        <v/>
      </c>
      <c r="G53" s="526">
        <f>IF(inputOth!E7=0,"",ROUND(gen!E57/inputOth!E7*1000,3))</f>
        <v>4.8879999999999999</v>
      </c>
      <c r="H53" s="525" t="str">
        <f>CONCATENATE("Projected ",F3-1," Mill Rate (est.)")</f>
        <v>Projected 2013 Mill Rate (est.)</v>
      </c>
      <c r="I53" s="524"/>
      <c r="J53" s="523"/>
    </row>
    <row r="54" spans="2:10">
      <c r="B54" s="412" t="str">
        <f>CONCATENATE(C70,"     ",D70)</f>
        <v xml:space="preserve">     </v>
      </c>
      <c r="C54" s="620" t="s">
        <v>673</v>
      </c>
      <c r="D54" s="621"/>
      <c r="E54" s="47">
        <f>E50+E53</f>
        <v>49488</v>
      </c>
      <c r="G54" s="522"/>
      <c r="H54" s="522"/>
      <c r="I54" s="522"/>
      <c r="J54" s="522"/>
    </row>
    <row r="55" spans="2:10">
      <c r="B55" s="412" t="str">
        <f>CONCATENATE(C71,"     ",D71)</f>
        <v xml:space="preserve">     </v>
      </c>
      <c r="C55" s="548"/>
      <c r="D55" s="547" t="s">
        <v>674</v>
      </c>
      <c r="E55" s="44">
        <f>IF(E54-E29&gt;0,E54-E29,0)</f>
        <v>32138.080000000002</v>
      </c>
      <c r="G55" s="622" t="str">
        <f>CONCATENATE("Desired Carryover Into ",F3+1,"")</f>
        <v>Desired Carryover Into 2015</v>
      </c>
      <c r="H55" s="625"/>
      <c r="I55" s="625"/>
      <c r="J55" s="624"/>
    </row>
    <row r="56" spans="2:10">
      <c r="B56" s="158"/>
      <c r="C56" s="545" t="s">
        <v>675</v>
      </c>
      <c r="D56" s="546">
        <f>inputOth!$E$36</f>
        <v>0</v>
      </c>
      <c r="E56" s="47">
        <f>ROUND(IF(D56&gt;0,(E55*D56),0),0)</f>
        <v>0</v>
      </c>
      <c r="G56" s="521"/>
      <c r="H56" s="534"/>
      <c r="I56" s="532"/>
      <c r="J56" s="520"/>
    </row>
    <row r="57" spans="2:10">
      <c r="B57" s="18"/>
      <c r="C57" s="616" t="str">
        <f>CONCATENATE("Amount of  ",$F$3-1," Ad Valorem Tax")</f>
        <v>Amount of  2013 Ad Valorem Tax</v>
      </c>
      <c r="D57" s="617"/>
      <c r="E57" s="44">
        <f>E55+E56</f>
        <v>32138.080000000002</v>
      </c>
      <c r="G57" s="519" t="s">
        <v>676</v>
      </c>
      <c r="H57" s="532"/>
      <c r="I57" s="532"/>
      <c r="J57" s="518"/>
    </row>
    <row r="58" spans="2:10">
      <c r="B58" s="18"/>
      <c r="C58" s="18"/>
      <c r="D58" s="18"/>
      <c r="E58" s="18"/>
      <c r="G58" s="521" t="s">
        <v>677</v>
      </c>
      <c r="H58" s="534"/>
      <c r="I58" s="534"/>
      <c r="J58" s="517" t="str">
        <f>IF(gen!J57=0,"",ROUND((J57+E57-G51)/inputOth!E7*1000,3)-G53)</f>
        <v/>
      </c>
    </row>
    <row r="59" spans="2:10">
      <c r="B59" s="18"/>
      <c r="C59" s="18"/>
      <c r="D59" s="18"/>
      <c r="E59" s="18"/>
      <c r="G59" s="516" t="str">
        <f>CONCATENATE("",F3," Total Expenditures Must Be:")</f>
        <v>2014 Total Expenditures Must Be:</v>
      </c>
      <c r="H59" s="515"/>
      <c r="I59" s="514"/>
      <c r="J59" s="513">
        <f>IF((J57&gt;0),(E50+J57-G51),0)</f>
        <v>0</v>
      </c>
    </row>
    <row r="60" spans="2:10">
      <c r="B60" s="18"/>
      <c r="C60" s="18"/>
      <c r="D60" s="18"/>
      <c r="E60" s="18"/>
    </row>
    <row r="61" spans="2:10">
      <c r="B61" s="18"/>
      <c r="C61" s="18"/>
      <c r="D61" s="18"/>
      <c r="E61" s="18"/>
    </row>
    <row r="62" spans="2:10">
      <c r="B62" s="18"/>
      <c r="C62" s="234"/>
      <c r="D62" s="234"/>
      <c r="E62" s="234"/>
    </row>
    <row r="63" spans="2:10">
      <c r="B63" s="138"/>
      <c r="C63" s="18" t="s">
        <v>225</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Ohio/Princeton Fire</v>
      </c>
      <c r="C1" s="18"/>
      <c r="D1" s="18"/>
      <c r="E1" s="250">
        <f>inputPrYr!$D$6</f>
        <v>2014</v>
      </c>
    </row>
    <row r="2" spans="2:5">
      <c r="B2" s="18"/>
      <c r="C2" s="18"/>
      <c r="D2" s="18"/>
      <c r="E2" s="158"/>
    </row>
    <row r="3" spans="2:5">
      <c r="B3" s="544" t="s">
        <v>79</v>
      </c>
      <c r="C3" s="234"/>
      <c r="D3" s="234"/>
      <c r="E3" s="251"/>
    </row>
    <row r="4" spans="2:5">
      <c r="B4" s="18"/>
      <c r="C4" s="252"/>
      <c r="D4" s="252"/>
      <c r="E4" s="252"/>
    </row>
    <row r="5" spans="2:5">
      <c r="B5" s="45" t="s">
        <v>32</v>
      </c>
      <c r="C5" s="390" t="s">
        <v>151</v>
      </c>
      <c r="D5" s="391" t="s">
        <v>246</v>
      </c>
      <c r="E5" s="236" t="s">
        <v>243</v>
      </c>
    </row>
    <row r="6" spans="2:5">
      <c r="B6" s="416" t="s">
        <v>270</v>
      </c>
      <c r="C6" s="398">
        <f>E1-2</f>
        <v>2012</v>
      </c>
      <c r="D6" s="398" t="str">
        <f>CONCATENATE("Estimate ",E1-1,"")</f>
        <v>Estimate 2013</v>
      </c>
      <c r="E6" s="173" t="str">
        <f>CONCATENATE("Year ",E1,"")</f>
        <v>Year 2014</v>
      </c>
    </row>
    <row r="7" spans="2:5">
      <c r="B7" s="109" t="s">
        <v>123</v>
      </c>
      <c r="C7" s="395"/>
      <c r="D7" s="399">
        <f>C55</f>
        <v>0</v>
      </c>
      <c r="E7" s="254">
        <f>D55</f>
        <v>0</v>
      </c>
    </row>
    <row r="8" spans="2:5">
      <c r="B8" s="255" t="s">
        <v>125</v>
      </c>
      <c r="C8" s="397"/>
      <c r="D8" s="399"/>
      <c r="E8" s="254"/>
    </row>
    <row r="9" spans="2:5">
      <c r="B9" s="109" t="s">
        <v>33</v>
      </c>
      <c r="C9" s="386"/>
      <c r="D9" s="397">
        <f>inputPrYr!E20</f>
        <v>0</v>
      </c>
      <c r="E9" s="256" t="s">
        <v>28</v>
      </c>
    </row>
    <row r="10" spans="2:5">
      <c r="B10" s="109" t="s">
        <v>34</v>
      </c>
      <c r="C10" s="386"/>
      <c r="D10" s="386"/>
      <c r="E10" s="257"/>
    </row>
    <row r="11" spans="2:5">
      <c r="B11" s="109" t="s">
        <v>35</v>
      </c>
      <c r="C11" s="386"/>
      <c r="D11" s="386"/>
      <c r="E11" s="258">
        <f>mvalloc!D12</f>
        <v>0</v>
      </c>
    </row>
    <row r="12" spans="2:5">
      <c r="B12" s="109" t="s">
        <v>36</v>
      </c>
      <c r="C12" s="386"/>
      <c r="D12" s="386"/>
      <c r="E12" s="258">
        <f>mvalloc!E12</f>
        <v>0</v>
      </c>
    </row>
    <row r="13" spans="2:5">
      <c r="B13" s="259" t="s">
        <v>107</v>
      </c>
      <c r="C13" s="386"/>
      <c r="D13" s="386"/>
      <c r="E13" s="258">
        <f>mvalloc!F12</f>
        <v>0</v>
      </c>
    </row>
    <row r="14" spans="2:5">
      <c r="B14" s="259" t="s">
        <v>154</v>
      </c>
      <c r="C14" s="386"/>
      <c r="D14" s="386"/>
      <c r="E14" s="258">
        <f>mvalloc!G12</f>
        <v>0</v>
      </c>
    </row>
    <row r="15" spans="2:5">
      <c r="B15" s="259"/>
      <c r="C15" s="386"/>
      <c r="D15" s="386"/>
      <c r="E15" s="258"/>
    </row>
    <row r="16" spans="2:5">
      <c r="B16" s="541"/>
      <c r="C16" s="386"/>
      <c r="D16" s="386"/>
      <c r="E16" s="540"/>
    </row>
    <row r="17" spans="2:5">
      <c r="B17" s="260"/>
      <c r="C17" s="386"/>
      <c r="D17" s="386"/>
      <c r="E17" s="257"/>
    </row>
    <row r="18" spans="2:5">
      <c r="B18" s="260"/>
      <c r="C18" s="386"/>
      <c r="D18" s="386"/>
      <c r="E18" s="261"/>
    </row>
    <row r="19" spans="2:5">
      <c r="B19" s="260"/>
      <c r="C19" s="386"/>
      <c r="D19" s="386"/>
      <c r="E19" s="257"/>
    </row>
    <row r="20" spans="2:5">
      <c r="B20" s="260"/>
      <c r="C20" s="386"/>
      <c r="D20" s="386"/>
      <c r="E20" s="257"/>
    </row>
    <row r="21" spans="2:5">
      <c r="B21" s="260"/>
      <c r="C21" s="386"/>
      <c r="D21" s="386"/>
      <c r="E21" s="257"/>
    </row>
    <row r="22" spans="2:5">
      <c r="B22" s="260"/>
      <c r="C22" s="386"/>
      <c r="D22" s="386"/>
      <c r="E22" s="257"/>
    </row>
    <row r="23" spans="2:5">
      <c r="B23" s="260"/>
      <c r="C23" s="386"/>
      <c r="D23" s="386"/>
      <c r="E23" s="257"/>
    </row>
    <row r="24" spans="2:5">
      <c r="B24" s="260"/>
      <c r="C24" s="386"/>
      <c r="D24" s="386"/>
      <c r="E24" s="257"/>
    </row>
    <row r="25" spans="2:5">
      <c r="B25" s="260"/>
      <c r="C25" s="386"/>
      <c r="D25" s="386"/>
      <c r="E25" s="257"/>
    </row>
    <row r="26" spans="2:5">
      <c r="B26" s="260" t="s">
        <v>152</v>
      </c>
      <c r="C26" s="386"/>
      <c r="D26" s="386"/>
      <c r="E26" s="257"/>
    </row>
    <row r="27" spans="2:5">
      <c r="B27" s="262" t="s">
        <v>38</v>
      </c>
      <c r="C27" s="386"/>
      <c r="D27" s="386"/>
      <c r="E27" s="257"/>
    </row>
    <row r="28" spans="2:5">
      <c r="B28" s="243" t="s">
        <v>216</v>
      </c>
      <c r="C28" s="395"/>
      <c r="D28" s="395"/>
      <c r="E28" s="257"/>
    </row>
    <row r="29" spans="2:5">
      <c r="B29" s="243" t="s">
        <v>570</v>
      </c>
      <c r="C29" s="387" t="str">
        <f>IF(C30*0.1&lt;C28,"Exceed 10% Rule","")</f>
        <v/>
      </c>
      <c r="D29" s="387" t="str">
        <f>IF(D30*0.1&lt;D28,"Exceed 10% Rule","")</f>
        <v/>
      </c>
      <c r="E29" s="413" t="str">
        <f>IF(E30*0.1+E61&lt;E28,"Exceed 10% Rule","")</f>
        <v/>
      </c>
    </row>
    <row r="30" spans="2:5">
      <c r="B30" s="246" t="s">
        <v>39</v>
      </c>
      <c r="C30" s="396">
        <f>SUM(C9:C28)</f>
        <v>0</v>
      </c>
      <c r="D30" s="396">
        <f>SUM(D9:D28)</f>
        <v>0</v>
      </c>
      <c r="E30" s="263">
        <f>SUM(E9:E28)</f>
        <v>0</v>
      </c>
    </row>
    <row r="31" spans="2:5">
      <c r="B31" s="246" t="s">
        <v>40</v>
      </c>
      <c r="C31" s="396">
        <f>C7+C30</f>
        <v>0</v>
      </c>
      <c r="D31" s="396">
        <f>D7+D30</f>
        <v>0</v>
      </c>
      <c r="E31" s="264">
        <f>E7+E30</f>
        <v>0</v>
      </c>
    </row>
    <row r="32" spans="2:5">
      <c r="B32" s="255" t="s">
        <v>41</v>
      </c>
      <c r="C32" s="397"/>
      <c r="D32" s="397"/>
      <c r="E32" s="258"/>
    </row>
    <row r="33" spans="2:5">
      <c r="B33" s="265"/>
      <c r="C33" s="386"/>
      <c r="D33" s="386"/>
      <c r="E33" s="257"/>
    </row>
    <row r="34" spans="2:5">
      <c r="B34" s="265"/>
      <c r="C34" s="386"/>
      <c r="D34" s="386"/>
      <c r="E34" s="257"/>
    </row>
    <row r="35" spans="2:5">
      <c r="B35" s="265"/>
      <c r="C35" s="386"/>
      <c r="D35" s="386"/>
      <c r="E35" s="257"/>
    </row>
    <row r="36" spans="2:5">
      <c r="B36" s="265"/>
      <c r="C36" s="386"/>
      <c r="D36" s="386"/>
      <c r="E36" s="257"/>
    </row>
    <row r="37" spans="2:5">
      <c r="B37" s="265"/>
      <c r="C37" s="386"/>
      <c r="D37" s="386"/>
      <c r="E37" s="257"/>
    </row>
    <row r="38" spans="2:5">
      <c r="B38" s="265"/>
      <c r="C38" s="386"/>
      <c r="D38" s="386"/>
      <c r="E38" s="257"/>
    </row>
    <row r="39" spans="2:5">
      <c r="B39" s="265"/>
      <c r="C39" s="386"/>
      <c r="D39" s="386"/>
      <c r="E39" s="257"/>
    </row>
    <row r="40" spans="2:5">
      <c r="B40" s="265"/>
      <c r="C40" s="386"/>
      <c r="D40" s="386"/>
      <c r="E40" s="257"/>
    </row>
    <row r="41" spans="2:5">
      <c r="B41" s="265"/>
      <c r="C41" s="386"/>
      <c r="D41" s="386"/>
      <c r="E41" s="257"/>
    </row>
    <row r="42" spans="2:5">
      <c r="B42" s="265"/>
      <c r="C42" s="386"/>
      <c r="D42" s="386"/>
      <c r="E42" s="257"/>
    </row>
    <row r="43" spans="2:5">
      <c r="B43" s="265"/>
      <c r="C43" s="386"/>
      <c r="D43" s="386"/>
      <c r="E43" s="257"/>
    </row>
    <row r="44" spans="2:5">
      <c r="B44" s="265"/>
      <c r="C44" s="386"/>
      <c r="D44" s="386"/>
      <c r="E44" s="257"/>
    </row>
    <row r="45" spans="2:5">
      <c r="B45" s="265"/>
      <c r="C45" s="386"/>
      <c r="D45" s="386"/>
      <c r="E45" s="257"/>
    </row>
    <row r="46" spans="2:5">
      <c r="B46" s="265"/>
      <c r="C46" s="386"/>
      <c r="D46" s="386"/>
      <c r="E46" s="257"/>
    </row>
    <row r="47" spans="2:5">
      <c r="B47" s="265"/>
      <c r="C47" s="386"/>
      <c r="D47" s="386"/>
      <c r="E47" s="257"/>
    </row>
    <row r="48" spans="2:5">
      <c r="B48" s="265"/>
      <c r="C48" s="386"/>
      <c r="D48" s="386"/>
      <c r="E48" s="257"/>
    </row>
    <row r="49" spans="2:9">
      <c r="B49" s="265"/>
      <c r="C49" s="386"/>
      <c r="D49" s="386"/>
      <c r="E49" s="257"/>
    </row>
    <row r="50" spans="2:9">
      <c r="B50" s="265"/>
      <c r="C50" s="386"/>
      <c r="D50" s="386"/>
      <c r="E50" s="257"/>
    </row>
    <row r="51" spans="2:9">
      <c r="B51" s="119" t="s">
        <v>217</v>
      </c>
      <c r="C51" s="395"/>
      <c r="D51" s="395"/>
      <c r="E51" s="179" t="str">
        <f>Nhood!E8</f>
        <v/>
      </c>
    </row>
    <row r="52" spans="2:9">
      <c r="B52" s="119" t="s">
        <v>216</v>
      </c>
      <c r="C52" s="395"/>
      <c r="D52" s="395"/>
      <c r="E52" s="257"/>
      <c r="G52" s="626" t="str">
        <f>CONCATENATE("Projected Carryover Into ",E1+1,"")</f>
        <v>Projected Carryover Into 2015</v>
      </c>
      <c r="H52" s="627"/>
      <c r="I52" s="628"/>
    </row>
    <row r="53" spans="2:9">
      <c r="B53" s="119" t="s">
        <v>569</v>
      </c>
      <c r="C53" s="387" t="str">
        <f>IF(C54*0.1&lt;C52,"Exceed 10% Rule","")</f>
        <v/>
      </c>
      <c r="D53" s="387" t="str">
        <f>IF(D54*0.1&lt;D52,"Exceed 10% Rule","")</f>
        <v/>
      </c>
      <c r="E53" s="413" t="str">
        <f>IF(E54*0.1&lt;E52,"Exceed 10% Rule","")</f>
        <v/>
      </c>
      <c r="G53" s="549"/>
      <c r="H53" s="534"/>
      <c r="I53" s="533"/>
    </row>
    <row r="54" spans="2:9">
      <c r="B54" s="246" t="s">
        <v>42</v>
      </c>
      <c r="C54" s="396">
        <f>SUM(C33:C52)</f>
        <v>0</v>
      </c>
      <c r="D54" s="396">
        <f>SUM(D33:D52)</f>
        <v>0</v>
      </c>
      <c r="E54" s="263">
        <f>SUM(E33:E52)</f>
        <v>0</v>
      </c>
      <c r="G54" s="543">
        <f>D54</f>
        <v>0</v>
      </c>
      <c r="H54" s="553" t="str">
        <f>CONCATENATE("",E1-1," Ending Cash Balance (est.)")</f>
        <v>2013 Ending Cash Balance (est.)</v>
      </c>
      <c r="I54" s="533"/>
    </row>
    <row r="55" spans="2:9">
      <c r="B55" s="109" t="s">
        <v>124</v>
      </c>
      <c r="C55" s="394">
        <f>C31-C54</f>
        <v>0</v>
      </c>
      <c r="D55" s="394">
        <f>D31-D54</f>
        <v>0</v>
      </c>
      <c r="E55" s="256" t="s">
        <v>28</v>
      </c>
      <c r="G55" s="543">
        <f>E30</f>
        <v>0</v>
      </c>
      <c r="H55" s="554" t="str">
        <f>CONCATENATE("",E1," Non-AV Receipts (est.)")</f>
        <v>2014 Non-AV Receipts (est.)</v>
      </c>
      <c r="I55" s="533"/>
    </row>
    <row r="56" spans="2:9">
      <c r="B56" s="138" t="str">
        <f>CONCATENATE("",E1-2,"/",E1-1," Budget Authority Amount:")</f>
        <v>2012/2013 Budget Authority Amount:</v>
      </c>
      <c r="C56" s="116">
        <f>inputOth!B43</f>
        <v>0</v>
      </c>
      <c r="D56" s="414">
        <f>inputPrYr!D20</f>
        <v>0</v>
      </c>
      <c r="E56" s="256" t="s">
        <v>28</v>
      </c>
      <c r="F56" s="266"/>
      <c r="G56" s="531">
        <f>E61</f>
        <v>0</v>
      </c>
      <c r="H56" s="554" t="str">
        <f>CONCATENATE("",E1," Ad Valorem Tax (est.)")</f>
        <v>2014 Ad Valorem Tax (est.)</v>
      </c>
      <c r="I56" s="533"/>
    </row>
    <row r="57" spans="2:9">
      <c r="B57" s="138"/>
      <c r="C57" s="618" t="s">
        <v>672</v>
      </c>
      <c r="D57" s="619"/>
      <c r="E57" s="37"/>
      <c r="F57" s="266" t="str">
        <f>IF(E54/0.95-E54&lt;E57,"Exceeds 5%","")</f>
        <v/>
      </c>
      <c r="G57" s="543">
        <f>SUM(G54:G56)</f>
        <v>0</v>
      </c>
      <c r="H57" s="554" t="str">
        <f>CONCATENATE("Total ",E1," Resources Available")</f>
        <v>Total 2014 Resources Available</v>
      </c>
      <c r="I57" s="533"/>
    </row>
    <row r="58" spans="2:9">
      <c r="B58" s="412" t="str">
        <f>CONCATENATE(C69,"     ",D69)</f>
        <v xml:space="preserve">     </v>
      </c>
      <c r="C58" s="620" t="s">
        <v>673</v>
      </c>
      <c r="D58" s="621"/>
      <c r="E58" s="47">
        <f>E54+E57</f>
        <v>0</v>
      </c>
      <c r="G58" s="530"/>
      <c r="H58" s="554"/>
      <c r="I58" s="533"/>
    </row>
    <row r="59" spans="2:9">
      <c r="B59" s="412" t="str">
        <f>CONCATENATE(C70,"     ",D70)</f>
        <v xml:space="preserve">     </v>
      </c>
      <c r="C59" s="550"/>
      <c r="D59" s="547" t="s">
        <v>674</v>
      </c>
      <c r="E59" s="44">
        <f>IF(E58-E31&gt;0,E58-E31,0)</f>
        <v>0</v>
      </c>
      <c r="G59" s="531">
        <f>C54</f>
        <v>0</v>
      </c>
      <c r="H59" s="554" t="str">
        <f>CONCATENATE("Less ",E1-2," Expenditures")</f>
        <v>Less 2012 Expenditures</v>
      </c>
      <c r="I59" s="533"/>
    </row>
    <row r="60" spans="2:9">
      <c r="B60" s="158"/>
      <c r="C60" s="545" t="s">
        <v>675</v>
      </c>
      <c r="D60" s="546">
        <f>inputOth!$E$36</f>
        <v>0</v>
      </c>
      <c r="E60" s="47">
        <f>ROUND(IF(D60&gt;0,(E59*D60),0),0)</f>
        <v>0</v>
      </c>
      <c r="G60" s="568">
        <f>G57-G59</f>
        <v>0</v>
      </c>
      <c r="H60" s="555" t="str">
        <f>CONCATENATE("Projected ",E1+1," carryover (est.)")</f>
        <v>Projected 2015 carryover (est.)</v>
      </c>
      <c r="I60" s="527"/>
    </row>
    <row r="61" spans="2:9">
      <c r="B61" s="18"/>
      <c r="C61" s="616" t="str">
        <f>CONCATENATE("Amount of  ",$E$1-1," Ad Valorem Tax")</f>
        <v>Amount of  2013 Ad Valorem Tax</v>
      </c>
      <c r="D61" s="617"/>
      <c r="E61" s="44">
        <f>E59+E60</f>
        <v>0</v>
      </c>
    </row>
    <row r="62" spans="2:9">
      <c r="B62" s="158"/>
      <c r="C62" s="18"/>
      <c r="D62" s="18"/>
      <c r="E62" s="18"/>
      <c r="G62" s="569">
        <f>IF(inputOth!E7&gt;0,ROUND(DebtService!E61/inputOth!E7*1000,3),0)</f>
        <v>0</v>
      </c>
      <c r="H62" s="570" t="str">
        <f>CONCATENATE("",E1," Mill Rate")</f>
        <v>2014 Mill Rate</v>
      </c>
      <c r="I62" s="571"/>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Ohio/Princeton Fire</v>
      </c>
      <c r="C1" s="18"/>
      <c r="D1" s="18"/>
      <c r="E1" s="185"/>
    </row>
    <row r="2" spans="2:6">
      <c r="B2" s="18" t="str">
        <f>inputPrYr!D4</f>
        <v>Franklin County</v>
      </c>
      <c r="C2" s="18"/>
      <c r="D2" s="18"/>
      <c r="E2" s="138"/>
    </row>
    <row r="3" spans="2:6">
      <c r="B3" s="27" t="s">
        <v>79</v>
      </c>
      <c r="C3" s="234"/>
      <c r="D3" s="234"/>
      <c r="E3" s="235"/>
      <c r="F3" s="92">
        <f>inputPrYr!D6</f>
        <v>2014</v>
      </c>
    </row>
    <row r="4" spans="2:6">
      <c r="B4" s="18"/>
      <c r="C4" s="102"/>
      <c r="D4" s="102"/>
      <c r="E4" s="102"/>
    </row>
    <row r="5" spans="2:6">
      <c r="B5" s="17" t="s">
        <v>32</v>
      </c>
      <c r="C5" s="390" t="s">
        <v>245</v>
      </c>
      <c r="D5" s="391" t="s">
        <v>244</v>
      </c>
      <c r="E5" s="236" t="s">
        <v>243</v>
      </c>
    </row>
    <row r="6" spans="2:6">
      <c r="B6" s="415">
        <f>inputPrYr!B22</f>
        <v>0</v>
      </c>
      <c r="C6" s="392" t="str">
        <f>CONCATENATE("Actual ",$F$3-2,"")</f>
        <v>Actual 2012</v>
      </c>
      <c r="D6" s="392" t="str">
        <f>CONCATENATE("Estimate ",F3-1,"")</f>
        <v>Estimate 2013</v>
      </c>
      <c r="E6" s="237" t="str">
        <f>CONCATENATE("Year ",F3,"")</f>
        <v>Year 2014</v>
      </c>
    </row>
    <row r="7" spans="2:6">
      <c r="B7" s="115" t="s">
        <v>123</v>
      </c>
      <c r="C7" s="386"/>
      <c r="D7" s="393">
        <f>C34</f>
        <v>0</v>
      </c>
      <c r="E7" s="47">
        <f>D34</f>
        <v>0</v>
      </c>
    </row>
    <row r="8" spans="2:6">
      <c r="B8" s="239" t="s">
        <v>125</v>
      </c>
      <c r="C8" s="240"/>
      <c r="D8" s="240"/>
      <c r="E8" s="121"/>
    </row>
    <row r="9" spans="2:6">
      <c r="B9" s="115" t="s">
        <v>33</v>
      </c>
      <c r="C9" s="386"/>
      <c r="D9" s="393">
        <f>inputPrYr!E22</f>
        <v>0</v>
      </c>
      <c r="E9" s="128" t="s">
        <v>28</v>
      </c>
    </row>
    <row r="10" spans="2:6">
      <c r="B10" s="115" t="s">
        <v>34</v>
      </c>
      <c r="C10" s="386"/>
      <c r="D10" s="386"/>
      <c r="E10" s="202"/>
    </row>
    <row r="11" spans="2:6">
      <c r="B11" s="115" t="s">
        <v>35</v>
      </c>
      <c r="C11" s="386"/>
      <c r="D11" s="386"/>
      <c r="E11" s="47">
        <f>mvalloc!D13</f>
        <v>0</v>
      </c>
    </row>
    <row r="12" spans="2:6">
      <c r="B12" s="115" t="s">
        <v>36</v>
      </c>
      <c r="C12" s="386"/>
      <c r="D12" s="386"/>
      <c r="E12" s="47">
        <f>mvalloc!E13</f>
        <v>0</v>
      </c>
    </row>
    <row r="13" spans="2:6">
      <c r="B13" s="240" t="s">
        <v>107</v>
      </c>
      <c r="C13" s="386"/>
      <c r="D13" s="386"/>
      <c r="E13" s="47">
        <f>mvalloc!F13</f>
        <v>0</v>
      </c>
    </row>
    <row r="14" spans="2:6">
      <c r="B14" s="240" t="s">
        <v>154</v>
      </c>
      <c r="C14" s="386"/>
      <c r="D14" s="386"/>
      <c r="E14" s="47">
        <f>mvalloc!G13</f>
        <v>0</v>
      </c>
    </row>
    <row r="15" spans="2:6">
      <c r="B15" s="241"/>
      <c r="C15" s="386"/>
      <c r="D15" s="386"/>
      <c r="E15" s="202"/>
    </row>
    <row r="16" spans="2:6">
      <c r="B16" s="241"/>
      <c r="C16" s="386"/>
      <c r="D16" s="386"/>
      <c r="E16" s="202"/>
    </row>
    <row r="17" spans="2:5">
      <c r="B17" s="241"/>
      <c r="C17" s="386"/>
      <c r="D17" s="386"/>
      <c r="E17" s="202"/>
    </row>
    <row r="18" spans="2:5">
      <c r="B18" s="242" t="s">
        <v>38</v>
      </c>
      <c r="C18" s="386"/>
      <c r="D18" s="386"/>
      <c r="E18" s="202"/>
    </row>
    <row r="19" spans="2:5">
      <c r="B19" s="243" t="s">
        <v>216</v>
      </c>
      <c r="C19" s="386"/>
      <c r="D19" s="386"/>
      <c r="E19" s="37"/>
    </row>
    <row r="20" spans="2:5">
      <c r="B20" s="243" t="s">
        <v>570</v>
      </c>
      <c r="C20" s="387" t="str">
        <f>IF(C21*0.1&lt;C19,"Exceed 10% Rule","")</f>
        <v/>
      </c>
      <c r="D20" s="387" t="str">
        <f>IF(D21*0.1&lt;D19,"Exceed 10% Rule","")</f>
        <v/>
      </c>
      <c r="E20" s="413" t="str">
        <f>IF(E21*0.1+E40&lt;E19,"Exceed 10% Rule","")</f>
        <v/>
      </c>
    </row>
    <row r="21" spans="2:5">
      <c r="B21" s="246" t="s">
        <v>39</v>
      </c>
      <c r="C21" s="388">
        <f>SUM(C9:C19)</f>
        <v>0</v>
      </c>
      <c r="D21" s="388">
        <f>SUM(D9:D19)</f>
        <v>0</v>
      </c>
      <c r="E21" s="247">
        <f>SUM(E9:E19)</f>
        <v>0</v>
      </c>
    </row>
    <row r="22" spans="2:5">
      <c r="B22" s="246" t="s">
        <v>40</v>
      </c>
      <c r="C22" s="388">
        <f>C7+C21</f>
        <v>0</v>
      </c>
      <c r="D22" s="388">
        <f>D7+D21</f>
        <v>0</v>
      </c>
      <c r="E22" s="247">
        <f>E7+E21</f>
        <v>0</v>
      </c>
    </row>
    <row r="23" spans="2:5">
      <c r="B23" s="115" t="s">
        <v>41</v>
      </c>
      <c r="C23" s="119"/>
      <c r="D23" s="119"/>
      <c r="E23" s="38"/>
    </row>
    <row r="24" spans="2:5">
      <c r="B24" s="241"/>
      <c r="C24" s="386"/>
      <c r="D24" s="386"/>
      <c r="E24" s="202"/>
    </row>
    <row r="25" spans="2:5">
      <c r="B25" s="241"/>
      <c r="C25" s="386"/>
      <c r="D25" s="386"/>
      <c r="E25" s="202"/>
    </row>
    <row r="26" spans="2:5">
      <c r="B26" s="241"/>
      <c r="C26" s="386"/>
      <c r="D26" s="386"/>
      <c r="E26" s="202"/>
    </row>
    <row r="27" spans="2:5">
      <c r="B27" s="241"/>
      <c r="C27" s="386"/>
      <c r="D27" s="386"/>
      <c r="E27" s="202"/>
    </row>
    <row r="28" spans="2:5">
      <c r="B28" s="241"/>
      <c r="C28" s="386"/>
      <c r="D28" s="386"/>
      <c r="E28" s="202"/>
    </row>
    <row r="29" spans="2:5">
      <c r="B29" s="241"/>
      <c r="C29" s="386"/>
      <c r="D29" s="386"/>
      <c r="E29" s="202"/>
    </row>
    <row r="30" spans="2:5">
      <c r="B30" s="119" t="s">
        <v>217</v>
      </c>
      <c r="C30" s="386"/>
      <c r="D30" s="386"/>
      <c r="E30" s="207" t="str">
        <f>Nhood!E9</f>
        <v/>
      </c>
    </row>
    <row r="31" spans="2:5">
      <c r="B31" s="119" t="s">
        <v>216</v>
      </c>
      <c r="C31" s="241"/>
      <c r="D31" s="241"/>
      <c r="E31" s="202"/>
    </row>
    <row r="32" spans="2:5">
      <c r="B32" s="119" t="s">
        <v>569</v>
      </c>
      <c r="C32" s="387" t="str">
        <f>IF(C33*0.1&lt;C31,"Exceed 10% Rule","")</f>
        <v/>
      </c>
      <c r="D32" s="387" t="str">
        <f>IF(D33*0.1&lt;D31,"Exceed 10% Rule","")</f>
        <v/>
      </c>
      <c r="E32" s="413" t="str">
        <f>IF(E33*0.1&lt;E31,"Exceed 10% Rule","")</f>
        <v/>
      </c>
    </row>
    <row r="33" spans="2:6">
      <c r="B33" s="246" t="s">
        <v>42</v>
      </c>
      <c r="C33" s="388">
        <f>SUM(C24:C31)</f>
        <v>0</v>
      </c>
      <c r="D33" s="388">
        <f>SUM(D24:D31)</f>
        <v>0</v>
      </c>
      <c r="E33" s="247">
        <f>SUM(E24:E31)</f>
        <v>0</v>
      </c>
    </row>
    <row r="34" spans="2:6">
      <c r="B34" s="115" t="s">
        <v>124</v>
      </c>
      <c r="C34" s="389">
        <f>C22-C33</f>
        <v>0</v>
      </c>
      <c r="D34" s="389">
        <f>D22-D33</f>
        <v>0</v>
      </c>
      <c r="E34" s="128" t="s">
        <v>28</v>
      </c>
    </row>
    <row r="35" spans="2:6">
      <c r="B35" s="138" t="str">
        <f>CONCATENATE("",F3-2,"/",F3-1," Budget Authority Amount:")</f>
        <v>2012/2013 Budget Authority Amount:</v>
      </c>
      <c r="C35" s="116">
        <f>inputOth!B44</f>
        <v>0</v>
      </c>
      <c r="D35" s="414">
        <f>inputPrYr!D22</f>
        <v>0</v>
      </c>
      <c r="E35" s="128" t="s">
        <v>28</v>
      </c>
      <c r="F35" s="248"/>
    </row>
    <row r="36" spans="2:6">
      <c r="B36" s="138"/>
      <c r="C36" s="618" t="s">
        <v>672</v>
      </c>
      <c r="D36" s="619"/>
      <c r="E36" s="37"/>
      <c r="F36" s="248" t="str">
        <f>IF(E33/0.95-E33&lt;E36,"Exceeds 5%","")</f>
        <v/>
      </c>
    </row>
    <row r="37" spans="2:6">
      <c r="B37" s="412" t="str">
        <f>CONCATENATE(C87,"     ",D87)</f>
        <v xml:space="preserve">     </v>
      </c>
      <c r="C37" s="620" t="s">
        <v>673</v>
      </c>
      <c r="D37" s="621"/>
      <c r="E37" s="47">
        <f>E33+E36</f>
        <v>0</v>
      </c>
    </row>
    <row r="38" spans="2:6">
      <c r="B38" s="412" t="str">
        <f>CONCATENATE(C88,"     ",D88)</f>
        <v xml:space="preserve">     </v>
      </c>
      <c r="C38" s="552"/>
      <c r="D38" s="547" t="s">
        <v>674</v>
      </c>
      <c r="E38" s="44">
        <f>IF(E37-E22&gt;0,E37-E22,0)</f>
        <v>0</v>
      </c>
    </row>
    <row r="39" spans="2:6">
      <c r="B39" s="158"/>
      <c r="C39" s="545" t="s">
        <v>675</v>
      </c>
      <c r="D39" s="546">
        <f>inputOth!$E$36</f>
        <v>0</v>
      </c>
      <c r="E39" s="47">
        <f>ROUND(IF(D39&gt;0,(E38*D39),0),0)</f>
        <v>0</v>
      </c>
    </row>
    <row r="40" spans="2:6">
      <c r="B40" s="18"/>
      <c r="C40" s="616" t="str">
        <f>CONCATENATE("Amount of  ",$F$3-1," Ad Valorem Tax")</f>
        <v>Amount of  2013 Ad Valorem Tax</v>
      </c>
      <c r="D40" s="617"/>
      <c r="E40" s="44">
        <f>E38+E39</f>
        <v>0</v>
      </c>
    </row>
    <row r="41" spans="2:6">
      <c r="B41" s="18"/>
      <c r="C41" s="18"/>
      <c r="D41" s="18"/>
      <c r="E41" s="18"/>
    </row>
    <row r="42" spans="2:6">
      <c r="B42" s="17" t="s">
        <v>32</v>
      </c>
      <c r="C42" s="102"/>
      <c r="D42" s="102"/>
      <c r="E42" s="102"/>
    </row>
    <row r="43" spans="2:6" ht="15.75" customHeight="1">
      <c r="B43" s="18"/>
      <c r="C43" s="390" t="s">
        <v>245</v>
      </c>
      <c r="D43" s="391" t="s">
        <v>246</v>
      </c>
      <c r="E43" s="236" t="s">
        <v>243</v>
      </c>
    </row>
    <row r="44" spans="2:6" ht="15.75" customHeight="1">
      <c r="B44" s="415">
        <f>inputPrYr!B23</f>
        <v>0</v>
      </c>
      <c r="C44" s="392" t="str">
        <f>C6</f>
        <v>Actual 2012</v>
      </c>
      <c r="D44" s="392" t="str">
        <f>D6</f>
        <v>Estimate 2013</v>
      </c>
      <c r="E44" s="237" t="str">
        <f>E6</f>
        <v>Year 2014</v>
      </c>
    </row>
    <row r="45" spans="2:6">
      <c r="B45" s="115" t="s">
        <v>123</v>
      </c>
      <c r="C45" s="386"/>
      <c r="D45" s="393">
        <f>C72</f>
        <v>0</v>
      </c>
      <c r="E45" s="47">
        <f>D72</f>
        <v>0</v>
      </c>
    </row>
    <row r="46" spans="2:6">
      <c r="B46" s="239" t="s">
        <v>125</v>
      </c>
      <c r="C46" s="240"/>
      <c r="D46" s="240"/>
      <c r="E46" s="121"/>
    </row>
    <row r="47" spans="2:6">
      <c r="B47" s="115" t="s">
        <v>33</v>
      </c>
      <c r="C47" s="386"/>
      <c r="D47" s="393">
        <f>inputPrYr!E23</f>
        <v>0</v>
      </c>
      <c r="E47" s="128" t="s">
        <v>28</v>
      </c>
    </row>
    <row r="48" spans="2:6">
      <c r="B48" s="115" t="s">
        <v>34</v>
      </c>
      <c r="C48" s="386"/>
      <c r="D48" s="386"/>
      <c r="E48" s="202"/>
    </row>
    <row r="49" spans="2:5">
      <c r="B49" s="115" t="s">
        <v>35</v>
      </c>
      <c r="C49" s="386"/>
      <c r="D49" s="386"/>
      <c r="E49" s="47">
        <f>mvalloc!D14</f>
        <v>0</v>
      </c>
    </row>
    <row r="50" spans="2:5">
      <c r="B50" s="115" t="s">
        <v>36</v>
      </c>
      <c r="C50" s="386"/>
      <c r="D50" s="386"/>
      <c r="E50" s="47">
        <f>mvalloc!E14</f>
        <v>0</v>
      </c>
    </row>
    <row r="51" spans="2:5">
      <c r="B51" s="240" t="s">
        <v>107</v>
      </c>
      <c r="C51" s="386"/>
      <c r="D51" s="386"/>
      <c r="E51" s="47">
        <f>mvalloc!F14</f>
        <v>0</v>
      </c>
    </row>
    <row r="52" spans="2:5">
      <c r="B52" s="240" t="s">
        <v>154</v>
      </c>
      <c r="C52" s="386"/>
      <c r="D52" s="386"/>
      <c r="E52" s="47">
        <f>mvalloc!G14</f>
        <v>0</v>
      </c>
    </row>
    <row r="53" spans="2:5">
      <c r="B53" s="241"/>
      <c r="C53" s="386"/>
      <c r="D53" s="386"/>
      <c r="E53" s="202"/>
    </row>
    <row r="54" spans="2:5">
      <c r="B54" s="241"/>
      <c r="C54" s="386"/>
      <c r="D54" s="386"/>
      <c r="E54" s="202"/>
    </row>
    <row r="55" spans="2:5">
      <c r="B55" s="241"/>
      <c r="C55" s="386"/>
      <c r="D55" s="386"/>
      <c r="E55" s="202"/>
    </row>
    <row r="56" spans="2:5">
      <c r="B56" s="242" t="s">
        <v>38</v>
      </c>
      <c r="C56" s="386"/>
      <c r="D56" s="386"/>
      <c r="E56" s="202"/>
    </row>
    <row r="57" spans="2:5">
      <c r="B57" s="243" t="s">
        <v>216</v>
      </c>
      <c r="C57" s="241"/>
      <c r="D57" s="241"/>
      <c r="E57" s="202"/>
    </row>
    <row r="58" spans="2:5">
      <c r="B58" s="243" t="s">
        <v>570</v>
      </c>
      <c r="C58" s="387" t="str">
        <f>IF(C59*0.1&lt;C57,"Exceed 10% Rule","")</f>
        <v/>
      </c>
      <c r="D58" s="387" t="str">
        <f>IF(D59*0.1&lt;D57,"Exceed 10% Rule","")</f>
        <v/>
      </c>
      <c r="E58" s="413" t="str">
        <f>IF(E59*0.1+E78&lt;E57,"Exceed 10% Rule","")</f>
        <v/>
      </c>
    </row>
    <row r="59" spans="2:5">
      <c r="B59" s="246" t="s">
        <v>39</v>
      </c>
      <c r="C59" s="388">
        <f>SUM(C47:C57)</f>
        <v>0</v>
      </c>
      <c r="D59" s="388">
        <f>SUM(D47:D57)</f>
        <v>0</v>
      </c>
      <c r="E59" s="247">
        <f>SUM(E47:E57)</f>
        <v>0</v>
      </c>
    </row>
    <row r="60" spans="2:5">
      <c r="B60" s="246" t="s">
        <v>40</v>
      </c>
      <c r="C60" s="388">
        <f>C45+C59</f>
        <v>0</v>
      </c>
      <c r="D60" s="388">
        <f>D45+D59</f>
        <v>0</v>
      </c>
      <c r="E60" s="247">
        <f>E45+E59</f>
        <v>0</v>
      </c>
    </row>
    <row r="61" spans="2:5">
      <c r="B61" s="115" t="s">
        <v>41</v>
      </c>
      <c r="C61" s="119"/>
      <c r="D61" s="119"/>
      <c r="E61" s="38"/>
    </row>
    <row r="62" spans="2:5">
      <c r="B62" s="241"/>
      <c r="C62" s="386"/>
      <c r="D62" s="386"/>
      <c r="E62" s="202"/>
    </row>
    <row r="63" spans="2:5">
      <c r="B63" s="241"/>
      <c r="C63" s="386"/>
      <c r="D63" s="386"/>
      <c r="E63" s="202"/>
    </row>
    <row r="64" spans="2:5">
      <c r="B64" s="241"/>
      <c r="C64" s="386"/>
      <c r="D64" s="386"/>
      <c r="E64" s="202"/>
    </row>
    <row r="65" spans="2:6">
      <c r="B65" s="241"/>
      <c r="C65" s="386"/>
      <c r="D65" s="386"/>
      <c r="E65" s="202"/>
    </row>
    <row r="66" spans="2:6">
      <c r="B66" s="241"/>
      <c r="C66" s="386"/>
      <c r="D66" s="386"/>
      <c r="E66" s="202"/>
    </row>
    <row r="67" spans="2:6">
      <c r="B67" s="241"/>
      <c r="C67" s="386"/>
      <c r="D67" s="386"/>
      <c r="E67" s="202"/>
    </row>
    <row r="68" spans="2:6">
      <c r="B68" s="119" t="s">
        <v>217</v>
      </c>
      <c r="C68" s="386"/>
      <c r="D68" s="386"/>
      <c r="E68" s="207" t="str">
        <f>Nhood!E10</f>
        <v/>
      </c>
    </row>
    <row r="69" spans="2:6">
      <c r="B69" s="119" t="s">
        <v>216</v>
      </c>
      <c r="C69" s="241"/>
      <c r="D69" s="241"/>
      <c r="E69" s="202"/>
    </row>
    <row r="70" spans="2:6">
      <c r="B70" s="119" t="s">
        <v>569</v>
      </c>
      <c r="C70" s="387" t="str">
        <f>IF(C71*0.1&lt;C69,"Exceed 10% Rule","")</f>
        <v/>
      </c>
      <c r="D70" s="387" t="str">
        <f>IF(D71*0.1&lt;D69,"Exceed 10% Rule","")</f>
        <v/>
      </c>
      <c r="E70" s="413" t="str">
        <f>IF(E71*0.1&lt;E69,"Exceed 10% Rule","")</f>
        <v/>
      </c>
    </row>
    <row r="71" spans="2:6">
      <c r="B71" s="246" t="s">
        <v>42</v>
      </c>
      <c r="C71" s="388">
        <f>SUM(C62:C69)</f>
        <v>0</v>
      </c>
      <c r="D71" s="388">
        <f>SUM(D62:D69)</f>
        <v>0</v>
      </c>
      <c r="E71" s="247">
        <f>SUM(E62:E69)</f>
        <v>0</v>
      </c>
    </row>
    <row r="72" spans="2:6">
      <c r="B72" s="115" t="s">
        <v>124</v>
      </c>
      <c r="C72" s="389">
        <f>C60-C71</f>
        <v>0</v>
      </c>
      <c r="D72" s="389">
        <f>D60-D71</f>
        <v>0</v>
      </c>
      <c r="E72" s="128" t="s">
        <v>28</v>
      </c>
    </row>
    <row r="73" spans="2:6">
      <c r="B73" s="138" t="str">
        <f>CONCATENATE("",F3-2,"/",F3-1," Budget Authority Amount:")</f>
        <v>2012/2013 Budget Authority Amount:</v>
      </c>
      <c r="C73" s="116">
        <f>inputOth!B45</f>
        <v>0</v>
      </c>
      <c r="D73" s="414">
        <f>inputPrYr!D23</f>
        <v>0</v>
      </c>
      <c r="E73" s="128" t="s">
        <v>28</v>
      </c>
      <c r="F73" s="248"/>
    </row>
    <row r="74" spans="2:6">
      <c r="B74" s="138"/>
      <c r="C74" s="618" t="s">
        <v>672</v>
      </c>
      <c r="D74" s="619"/>
      <c r="E74" s="37"/>
      <c r="F74" s="248" t="str">
        <f>IF(E71/0.95-E71&lt;E74,"Exceeds 5%","")</f>
        <v/>
      </c>
    </row>
    <row r="75" spans="2:6">
      <c r="B75" s="412" t="str">
        <f>CONCATENATE(C89,"     ",D89)</f>
        <v xml:space="preserve">     </v>
      </c>
      <c r="C75" s="620" t="s">
        <v>673</v>
      </c>
      <c r="D75" s="621"/>
      <c r="E75" s="47">
        <f>E71+E74</f>
        <v>0</v>
      </c>
    </row>
    <row r="76" spans="2:6">
      <c r="B76" s="412" t="str">
        <f>CONCATENATE(C90,"     ",D90)</f>
        <v xml:space="preserve">     </v>
      </c>
      <c r="C76" s="551"/>
      <c r="D76" s="547" t="s">
        <v>674</v>
      </c>
      <c r="E76" s="44">
        <f>IF(E75-E60&gt;0,E75-E60,0)</f>
        <v>0</v>
      </c>
    </row>
    <row r="77" spans="2:6">
      <c r="B77" s="158"/>
      <c r="C77" s="545" t="s">
        <v>675</v>
      </c>
      <c r="D77" s="546">
        <f>inputOth!$E$36</f>
        <v>0</v>
      </c>
      <c r="E77" s="47">
        <f>ROUND(IF(D77&gt;0,(E76*D77),0),0)</f>
        <v>0</v>
      </c>
    </row>
    <row r="78" spans="2:6">
      <c r="B78" s="18"/>
      <c r="C78" s="616" t="str">
        <f>CONCATENATE("Amount of  ",$F$3-1," Ad Valorem Tax")</f>
        <v>Amount of  2013 Ad Valorem Tax</v>
      </c>
      <c r="D78" s="617"/>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Ohio/Princeton Fire</v>
      </c>
      <c r="C1" s="234"/>
      <c r="D1" s="18"/>
      <c r="E1" s="185"/>
    </row>
    <row r="2" spans="2:6">
      <c r="B2" s="18" t="str">
        <f>inputPrYr!D4</f>
        <v>Franklin County</v>
      </c>
      <c r="C2" s="234"/>
      <c r="D2" s="18"/>
      <c r="E2" s="138"/>
    </row>
    <row r="3" spans="2:6">
      <c r="B3" s="27" t="s">
        <v>80</v>
      </c>
      <c r="C3" s="234"/>
      <c r="D3" s="234"/>
      <c r="E3" s="235"/>
      <c r="F3" s="92">
        <f>inputPrYr!$D$6</f>
        <v>2014</v>
      </c>
    </row>
    <row r="4" spans="2:6">
      <c r="B4" s="18"/>
      <c r="C4" s="102"/>
      <c r="D4" s="102"/>
      <c r="E4" s="102"/>
    </row>
    <row r="5" spans="2:6">
      <c r="B5" s="17" t="s">
        <v>32</v>
      </c>
      <c r="C5" s="269" t="s">
        <v>245</v>
      </c>
      <c r="D5" s="236" t="s">
        <v>246</v>
      </c>
      <c r="E5" s="236" t="s">
        <v>243</v>
      </c>
    </row>
    <row r="6" spans="2:6">
      <c r="B6" s="415">
        <f>inputPrYr!B26</f>
        <v>0</v>
      </c>
      <c r="C6" s="237" t="str">
        <f>CONCATENATE("Actual ",F3-2,"")</f>
        <v>Actual 2012</v>
      </c>
      <c r="D6" s="237" t="str">
        <f>CONCATENATE("Estimate ",F3-1,"")</f>
        <v>Estimate 2013</v>
      </c>
      <c r="E6" s="237" t="str">
        <f>CONCATENATE("Year ",F3,"")</f>
        <v>Year 2014</v>
      </c>
    </row>
    <row r="7" spans="2:6">
      <c r="B7" s="115" t="s">
        <v>123</v>
      </c>
      <c r="C7" s="37"/>
      <c r="D7" s="47">
        <f>C32</f>
        <v>0</v>
      </c>
      <c r="E7" s="47">
        <f>D32</f>
        <v>0</v>
      </c>
    </row>
    <row r="8" spans="2:6">
      <c r="B8" s="239" t="s">
        <v>125</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216</v>
      </c>
      <c r="C17" s="202"/>
      <c r="D17" s="244"/>
      <c r="E17" s="244"/>
    </row>
    <row r="18" spans="2:5">
      <c r="B18" s="243" t="s">
        <v>570</v>
      </c>
      <c r="C18" s="413"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216</v>
      </c>
      <c r="C29" s="37"/>
      <c r="D29" s="238"/>
      <c r="E29" s="238"/>
    </row>
    <row r="30" spans="2:5">
      <c r="B30" s="119" t="s">
        <v>569</v>
      </c>
      <c r="C30" s="413"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124</v>
      </c>
      <c r="C32" s="44">
        <f>C20-C31</f>
        <v>0</v>
      </c>
      <c r="D32" s="44">
        <f>D20-D31</f>
        <v>0</v>
      </c>
      <c r="E32" s="44">
        <f>E20-E31</f>
        <v>0</v>
      </c>
    </row>
    <row r="33" spans="2:5">
      <c r="B33" s="138" t="str">
        <f>CONCATENATE("",F3-2,"/",F3-1," Budget Authority Amount:")</f>
        <v>2012/2013 Budget Authority Amount:</v>
      </c>
      <c r="C33" s="116">
        <f>inputOth!B46</f>
        <v>0</v>
      </c>
      <c r="D33" s="116">
        <f>inputPrYr!D26</f>
        <v>0</v>
      </c>
      <c r="E33" s="417"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245</v>
      </c>
      <c r="D38" s="236" t="s">
        <v>246</v>
      </c>
      <c r="E38" s="236" t="s">
        <v>243</v>
      </c>
    </row>
    <row r="39" spans="2:5" ht="15.75" customHeight="1">
      <c r="B39" s="415">
        <f>inputPrYr!B27</f>
        <v>0</v>
      </c>
      <c r="C39" s="237" t="str">
        <f>C6</f>
        <v>Actual 2012</v>
      </c>
      <c r="D39" s="237" t="str">
        <f>D6</f>
        <v>Estimate 2013</v>
      </c>
      <c r="E39" s="237" t="str">
        <f>E6</f>
        <v>Year 2014</v>
      </c>
    </row>
    <row r="40" spans="2:5">
      <c r="B40" s="115" t="s">
        <v>123</v>
      </c>
      <c r="C40" s="37"/>
      <c r="D40" s="47">
        <f>C65</f>
        <v>0</v>
      </c>
      <c r="E40" s="47">
        <f>D65</f>
        <v>0</v>
      </c>
    </row>
    <row r="41" spans="2:5">
      <c r="B41" s="239" t="s">
        <v>125</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216</v>
      </c>
      <c r="C50" s="202"/>
      <c r="D50" s="244"/>
      <c r="E50" s="244"/>
    </row>
    <row r="51" spans="2:5">
      <c r="B51" s="243" t="s">
        <v>570</v>
      </c>
      <c r="C51" s="413"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216</v>
      </c>
      <c r="C62" s="37"/>
      <c r="D62" s="238"/>
      <c r="E62" s="238"/>
    </row>
    <row r="63" spans="2:5">
      <c r="B63" s="119" t="s">
        <v>569</v>
      </c>
      <c r="C63" s="413"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124</v>
      </c>
      <c r="C65" s="44">
        <f>C53-C64</f>
        <v>0</v>
      </c>
      <c r="D65" s="44">
        <f>D53-D64</f>
        <v>0</v>
      </c>
      <c r="E65" s="44">
        <f>E53-E64</f>
        <v>0</v>
      </c>
    </row>
    <row r="66" spans="2:5">
      <c r="B66" s="138" t="str">
        <f>CONCATENATE("",F3-2,"/",F3-1," Budget Authority Amount:")</f>
        <v>2012/2013 Budget Authority Amount:</v>
      </c>
      <c r="C66" s="116">
        <f>inputOth!B47</f>
        <v>0</v>
      </c>
      <c r="D66" s="116">
        <f>inputPrYr!D27</f>
        <v>0</v>
      </c>
      <c r="E66" s="417"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B8" sqref="B8"/>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Ohio/Princeton Fire</v>
      </c>
      <c r="B1" s="270"/>
      <c r="C1" s="56"/>
      <c r="D1" s="56"/>
      <c r="E1" s="56"/>
      <c r="F1" s="271" t="s">
        <v>230</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231</v>
      </c>
      <c r="B3" s="56"/>
      <c r="C3" s="56"/>
      <c r="D3" s="56"/>
      <c r="E3" s="56"/>
      <c r="F3" s="270"/>
      <c r="G3" s="56"/>
      <c r="H3" s="56"/>
      <c r="I3" s="56"/>
      <c r="J3" s="56"/>
      <c r="K3" s="56"/>
    </row>
    <row r="4" spans="1:11">
      <c r="A4" s="56" t="s">
        <v>232</v>
      </c>
      <c r="B4" s="56"/>
      <c r="C4" s="56" t="s">
        <v>233</v>
      </c>
      <c r="D4" s="56"/>
      <c r="E4" s="56" t="s">
        <v>234</v>
      </c>
      <c r="F4" s="270"/>
      <c r="G4" s="56" t="s">
        <v>235</v>
      </c>
      <c r="H4" s="56"/>
      <c r="I4" s="56" t="s">
        <v>236</v>
      </c>
      <c r="J4" s="56"/>
      <c r="K4" s="56"/>
    </row>
    <row r="5" spans="1:11">
      <c r="A5" s="629" t="str">
        <f>inputPrYr!B30</f>
        <v>Equipment Fund</v>
      </c>
      <c r="B5" s="630"/>
      <c r="C5" s="629">
        <f>inputPrYr!B31</f>
        <v>0</v>
      </c>
      <c r="D5" s="630"/>
      <c r="E5" s="629">
        <f>inputPrYr!B32</f>
        <v>0</v>
      </c>
      <c r="F5" s="630"/>
      <c r="G5" s="629">
        <f>inputPrYr!B33</f>
        <v>0</v>
      </c>
      <c r="H5" s="630"/>
      <c r="I5" s="629">
        <f>inputPrYr!B34</f>
        <v>0</v>
      </c>
      <c r="J5" s="630"/>
      <c r="K5" s="274"/>
    </row>
    <row r="6" spans="1:11">
      <c r="A6" s="275" t="s">
        <v>237</v>
      </c>
      <c r="B6" s="276"/>
      <c r="C6" s="277" t="s">
        <v>237</v>
      </c>
      <c r="D6" s="278"/>
      <c r="E6" s="277" t="s">
        <v>237</v>
      </c>
      <c r="F6" s="279"/>
      <c r="G6" s="277" t="s">
        <v>237</v>
      </c>
      <c r="H6" s="273"/>
      <c r="I6" s="277" t="s">
        <v>237</v>
      </c>
      <c r="J6" s="56"/>
      <c r="K6" s="280" t="s">
        <v>13</v>
      </c>
    </row>
    <row r="7" spans="1:11">
      <c r="A7" s="281" t="s">
        <v>238</v>
      </c>
      <c r="B7" s="282">
        <v>10539</v>
      </c>
      <c r="C7" s="283" t="s">
        <v>238</v>
      </c>
      <c r="D7" s="282"/>
      <c r="E7" s="283" t="s">
        <v>238</v>
      </c>
      <c r="F7" s="282"/>
      <c r="G7" s="283" t="s">
        <v>238</v>
      </c>
      <c r="H7" s="282"/>
      <c r="I7" s="283" t="s">
        <v>238</v>
      </c>
      <c r="J7" s="282"/>
      <c r="K7" s="284">
        <f>SUM(B7+D7+F7+H7+J7)</f>
        <v>10539</v>
      </c>
    </row>
    <row r="8" spans="1:11">
      <c r="A8" s="285" t="s">
        <v>125</v>
      </c>
      <c r="B8" s="286"/>
      <c r="C8" s="285" t="s">
        <v>125</v>
      </c>
      <c r="D8" s="287"/>
      <c r="E8" s="285" t="s">
        <v>125</v>
      </c>
      <c r="F8" s="270"/>
      <c r="G8" s="285" t="s">
        <v>125</v>
      </c>
      <c r="H8" s="56"/>
      <c r="I8" s="285" t="s">
        <v>125</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10539</v>
      </c>
      <c r="C18" s="285" t="s">
        <v>40</v>
      </c>
      <c r="D18" s="284">
        <f>SUM(D7+D17)</f>
        <v>0</v>
      </c>
      <c r="E18" s="285" t="s">
        <v>40</v>
      </c>
      <c r="F18" s="284">
        <f>SUM(F7+F17)</f>
        <v>0</v>
      </c>
      <c r="G18" s="285" t="s">
        <v>40</v>
      </c>
      <c r="H18" s="284">
        <f>SUM(H7+H17)</f>
        <v>0</v>
      </c>
      <c r="I18" s="285" t="s">
        <v>40</v>
      </c>
      <c r="J18" s="284">
        <f>SUM(J7+J17)</f>
        <v>0</v>
      </c>
      <c r="K18" s="284">
        <f>SUM(B18+D18+F18+H18+J18)</f>
        <v>10539</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239</v>
      </c>
      <c r="B29" s="284">
        <f>SUM(B18-B28)</f>
        <v>10539</v>
      </c>
      <c r="C29" s="285" t="s">
        <v>239</v>
      </c>
      <c r="D29" s="284">
        <f>SUM(D18-D28)</f>
        <v>0</v>
      </c>
      <c r="E29" s="285" t="s">
        <v>239</v>
      </c>
      <c r="F29" s="284">
        <f>SUM(F18-F28)</f>
        <v>0</v>
      </c>
      <c r="G29" s="285" t="s">
        <v>239</v>
      </c>
      <c r="H29" s="284">
        <f>SUM(H18-H28)</f>
        <v>0</v>
      </c>
      <c r="I29" s="285" t="s">
        <v>239</v>
      </c>
      <c r="J29" s="284">
        <f>SUM(J18-J28)</f>
        <v>0</v>
      </c>
      <c r="K29" s="299">
        <f>SUM(B29+D29+F29+H29+J29)</f>
        <v>10539</v>
      </c>
      <c r="L29" s="92" t="s">
        <v>240</v>
      </c>
    </row>
    <row r="30" spans="1:12">
      <c r="A30" s="285"/>
      <c r="B30" s="335" t="str">
        <f>IF(B29&lt;0,"See Tab B","")</f>
        <v/>
      </c>
      <c r="C30" s="285"/>
      <c r="D30" s="335" t="str">
        <f>IF(D29&lt;0,"See Tab B","")</f>
        <v/>
      </c>
      <c r="E30" s="285"/>
      <c r="F30" s="335" t="str">
        <f>IF(F29&lt;0,"See Tab B","")</f>
        <v/>
      </c>
      <c r="G30" s="56"/>
      <c r="H30" s="335" t="str">
        <f>IF(H29&lt;0,"See Tab B","")</f>
        <v/>
      </c>
      <c r="I30" s="56"/>
      <c r="J30" s="335" t="str">
        <f>IF(J29&lt;0,"See Tab B","")</f>
        <v/>
      </c>
      <c r="K30" s="299">
        <f>SUM(K7+K17-K28)</f>
        <v>10539</v>
      </c>
      <c r="L30" s="92" t="s">
        <v>240</v>
      </c>
    </row>
    <row r="31" spans="1:12">
      <c r="A31" s="56"/>
      <c r="B31" s="300"/>
      <c r="C31" s="56"/>
      <c r="D31" s="270"/>
      <c r="E31" s="56"/>
      <c r="F31" s="56"/>
      <c r="G31" s="301" t="s">
        <v>241</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v>7</v>
      </c>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1" t="s">
        <v>286</v>
      </c>
    </row>
    <row r="2" spans="1:1" ht="15.75">
      <c r="A2" s="92"/>
    </row>
    <row r="3" spans="1:1" ht="15.75">
      <c r="A3" s="92"/>
    </row>
    <row r="4" spans="1:1" ht="56.25" customHeight="1">
      <c r="A4" s="332" t="s">
        <v>287</v>
      </c>
    </row>
    <row r="5" spans="1:1" ht="15.75">
      <c r="A5" s="333"/>
    </row>
    <row r="6" spans="1:1" ht="15.75">
      <c r="A6" s="92"/>
    </row>
    <row r="7" spans="1:1" ht="50.25" customHeight="1">
      <c r="A7" s="332" t="s">
        <v>288</v>
      </c>
    </row>
    <row r="8" spans="1:1" ht="15.75">
      <c r="A8" s="92"/>
    </row>
    <row r="9" spans="1:1" ht="15.75">
      <c r="A9" s="92"/>
    </row>
    <row r="10" spans="1:1" ht="52.5" customHeight="1">
      <c r="A10" s="332" t="s">
        <v>289</v>
      </c>
    </row>
    <row r="11" spans="1:1" ht="15.75">
      <c r="A11" s="92"/>
    </row>
    <row r="12" spans="1:1" ht="15.75">
      <c r="A12" s="92"/>
    </row>
    <row r="13" spans="1:1" ht="52.5" customHeight="1">
      <c r="A13" s="332" t="s">
        <v>290</v>
      </c>
    </row>
    <row r="14" spans="1:1" ht="15.75">
      <c r="A14" s="333"/>
    </row>
    <row r="15" spans="1:1" ht="15.75">
      <c r="A15" s="333"/>
    </row>
    <row r="16" spans="1:1" ht="51" customHeight="1">
      <c r="A16" s="511" t="s">
        <v>664</v>
      </c>
    </row>
    <row r="17" spans="1:1" ht="15.75">
      <c r="A17" s="333"/>
    </row>
    <row r="18" spans="1:1" ht="15.75">
      <c r="A18" s="333"/>
    </row>
    <row r="19" spans="1:1" ht="37.5" customHeight="1">
      <c r="A19" s="332" t="s">
        <v>291</v>
      </c>
    </row>
    <row r="20" spans="1:1" ht="15.75">
      <c r="A20" s="92"/>
    </row>
    <row r="21" spans="1:1" ht="15.75">
      <c r="A21" s="92"/>
    </row>
    <row r="22" spans="1:1" ht="47.25">
      <c r="A22" s="332" t="s">
        <v>292</v>
      </c>
    </row>
    <row r="23" spans="1:1" ht="15.75">
      <c r="A23" s="333"/>
    </row>
    <row r="24" spans="1:1" ht="15.75">
      <c r="A24" s="92"/>
    </row>
    <row r="25" spans="1:1" ht="67.5" customHeight="1">
      <c r="A25" s="332" t="s">
        <v>293</v>
      </c>
    </row>
    <row r="26" spans="1:1" ht="68.25" customHeight="1">
      <c r="A26" s="334" t="s">
        <v>294</v>
      </c>
    </row>
    <row r="27" spans="1:1" ht="15.75">
      <c r="A27" s="92"/>
    </row>
    <row r="28" spans="1:1" ht="15.75">
      <c r="A28" s="92"/>
    </row>
    <row r="29" spans="1:1" ht="51" customHeight="1">
      <c r="A29" s="512" t="s">
        <v>665</v>
      </c>
    </row>
    <row r="30" spans="1:1" ht="15.75">
      <c r="A30" s="92"/>
    </row>
    <row r="31" spans="1:1" ht="15.75">
      <c r="A31" s="333"/>
    </row>
    <row r="32" spans="1:1" ht="69" customHeight="1">
      <c r="A32" s="512" t="s">
        <v>666</v>
      </c>
    </row>
    <row r="33" spans="1:1" ht="15.75">
      <c r="A33" s="333"/>
    </row>
    <row r="34" spans="1:1" ht="15.75">
      <c r="A34" s="333"/>
    </row>
    <row r="35" spans="1:1" ht="52.5" customHeight="1">
      <c r="A35" s="512" t="s">
        <v>667</v>
      </c>
    </row>
    <row r="36" spans="1:1" ht="15.75">
      <c r="A36" s="333"/>
    </row>
    <row r="37" spans="1:1" ht="15.75">
      <c r="A37" s="333"/>
    </row>
    <row r="38" spans="1:1" ht="59.25" customHeight="1">
      <c r="A38" s="332" t="s">
        <v>295</v>
      </c>
    </row>
    <row r="39" spans="1:1" ht="15.75">
      <c r="A39" s="92"/>
    </row>
    <row r="40" spans="1:1" ht="15.75">
      <c r="A40" s="92"/>
    </row>
    <row r="41" spans="1:1" ht="53.25" customHeight="1">
      <c r="A41" s="332" t="s">
        <v>296</v>
      </c>
    </row>
    <row r="42" spans="1:1" ht="15.75">
      <c r="A42" s="333"/>
    </row>
    <row r="43" spans="1:1" ht="15.75">
      <c r="A43" s="333"/>
    </row>
    <row r="44" spans="1:1" ht="38.25" customHeight="1">
      <c r="A44" s="332" t="s">
        <v>297</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8"/>
  <sheetViews>
    <sheetView workbookViewId="0">
      <selection activeCell="A25" sqref="A25:B26"/>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81" t="s">
        <v>81</v>
      </c>
      <c r="B1" s="581"/>
      <c r="C1" s="581"/>
      <c r="D1" s="581"/>
      <c r="E1" s="581"/>
      <c r="F1" s="581"/>
      <c r="G1" s="581"/>
      <c r="H1" s="640"/>
    </row>
    <row r="2" spans="1:13">
      <c r="A2" s="18"/>
      <c r="B2" s="18"/>
      <c r="C2" s="18"/>
      <c r="D2" s="18"/>
      <c r="E2" s="18"/>
      <c r="F2" s="18"/>
      <c r="G2" s="18"/>
      <c r="H2" s="18"/>
    </row>
    <row r="3" spans="1:13">
      <c r="A3" s="610" t="s">
        <v>108</v>
      </c>
      <c r="B3" s="610"/>
      <c r="C3" s="610"/>
      <c r="D3" s="610"/>
      <c r="E3" s="610"/>
      <c r="F3" s="610"/>
      <c r="G3" s="610"/>
      <c r="H3" s="610"/>
      <c r="I3" s="54">
        <f>inputPrYr!D6</f>
        <v>2014</v>
      </c>
    </row>
    <row r="4" spans="1:13">
      <c r="A4" s="579" t="str">
        <f>inputPrYr!D3</f>
        <v>Ohio/Princeton Fire</v>
      </c>
      <c r="B4" s="579"/>
      <c r="C4" s="579"/>
      <c r="D4" s="579"/>
      <c r="E4" s="579"/>
      <c r="F4" s="579"/>
      <c r="G4" s="579"/>
      <c r="H4" s="579"/>
    </row>
    <row r="5" spans="1:13">
      <c r="A5" s="643" t="str">
        <f>inputPrYr!D4</f>
        <v>Franklin County</v>
      </c>
      <c r="B5" s="643"/>
      <c r="C5" s="643"/>
      <c r="D5" s="643"/>
      <c r="E5" s="643"/>
      <c r="F5" s="643"/>
      <c r="G5" s="643"/>
      <c r="H5" s="643"/>
    </row>
    <row r="6" spans="1:13">
      <c r="A6" s="644" t="str">
        <f>CONCATENATE("will meet on ",inputBudSum!B5," at ",inputBudSum!B7," at ",inputBudSum!B9," for the purpose of hearing and")</f>
        <v>will meet on August 12, 2013 at 7:00pm at Princeton Fire Station for the purpose of hearing and</v>
      </c>
      <c r="B6" s="644"/>
      <c r="C6" s="644"/>
      <c r="D6" s="644"/>
      <c r="E6" s="644"/>
      <c r="F6" s="644"/>
      <c r="G6" s="644"/>
      <c r="H6" s="644"/>
    </row>
    <row r="7" spans="1:13">
      <c r="A7" s="94" t="s">
        <v>328</v>
      </c>
      <c r="B7" s="26"/>
      <c r="C7" s="26"/>
      <c r="D7" s="26"/>
      <c r="E7" s="26"/>
      <c r="F7" s="26"/>
      <c r="G7" s="26"/>
      <c r="H7" s="26"/>
    </row>
    <row r="8" spans="1:13">
      <c r="A8" s="367" t="str">
        <f>CONCATENATE("Detailed budget information is available at ",inputBudSum!B12," and will be available at this hearing.")</f>
        <v>Detailed budget information is available at Franklin County Clerk's Office and will be available at this hearing.</v>
      </c>
      <c r="B8" s="368"/>
      <c r="C8" s="368"/>
      <c r="D8" s="368"/>
      <c r="E8" s="368"/>
      <c r="F8" s="368"/>
      <c r="G8" s="26"/>
      <c r="H8" s="26"/>
    </row>
    <row r="9" spans="1:13">
      <c r="A9" s="25" t="s">
        <v>82</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31" t="str">
        <f>CONCATENATE("Estimated Value Of One Mill For ",I3,"")</f>
        <v>Estimated Value Of One Mill For 2014</v>
      </c>
      <c r="K12" s="632"/>
      <c r="L12" s="632"/>
      <c r="M12" s="633"/>
    </row>
    <row r="13" spans="1:13">
      <c r="A13" s="220"/>
      <c r="B13" s="304" t="str">
        <f>CONCATENATE("Prior Year Actual ",I3-2,"")</f>
        <v>Prior Year Actual 2012</v>
      </c>
      <c r="C13" s="305"/>
      <c r="D13" s="306" t="str">
        <f>CONCATENATE("Current Year Estimate for ",I3-1,"")</f>
        <v>Current Year Estimate for 2013</v>
      </c>
      <c r="E13" s="305"/>
      <c r="F13" s="304" t="str">
        <f>CONCATENATE("Proposed Budget Year for ",I3,"")</f>
        <v>Proposed Budget Year for 2014</v>
      </c>
      <c r="G13" s="307"/>
      <c r="H13" s="305"/>
      <c r="J13" s="556"/>
      <c r="K13" s="557"/>
      <c r="L13" s="557"/>
      <c r="M13" s="558"/>
    </row>
    <row r="14" spans="1:13">
      <c r="A14" s="223"/>
      <c r="B14" s="101"/>
      <c r="C14" s="308" t="s">
        <v>51</v>
      </c>
      <c r="D14" s="101"/>
      <c r="E14" s="308" t="s">
        <v>51</v>
      </c>
      <c r="F14" s="223" t="s">
        <v>210</v>
      </c>
      <c r="G14" s="641" t="str">
        <f>CONCATENATE("Amount of ",I3-1," Ad Valorem Tax")</f>
        <v>Amount of 2013 Ad Valorem Tax</v>
      </c>
      <c r="H14" s="308" t="s">
        <v>573</v>
      </c>
      <c r="J14" s="559" t="s">
        <v>678</v>
      </c>
      <c r="K14" s="560"/>
      <c r="L14" s="560"/>
      <c r="M14" s="561">
        <f>ROUND(F22/1000,0)</f>
        <v>6575</v>
      </c>
    </row>
    <row r="15" spans="1:13">
      <c r="A15" s="172" t="s">
        <v>52</v>
      </c>
      <c r="B15" s="110" t="s">
        <v>53</v>
      </c>
      <c r="C15" s="309" t="s">
        <v>192</v>
      </c>
      <c r="D15" s="110" t="s">
        <v>53</v>
      </c>
      <c r="E15" s="309" t="s">
        <v>192</v>
      </c>
      <c r="F15" s="110" t="s">
        <v>568</v>
      </c>
      <c r="G15" s="642"/>
      <c r="H15" s="309" t="s">
        <v>192</v>
      </c>
      <c r="J15" s="16"/>
      <c r="K15" s="16"/>
      <c r="L15" s="16"/>
      <c r="M15" s="16"/>
    </row>
    <row r="16" spans="1:13">
      <c r="A16" s="38" t="str">
        <f>inputPrYr!B19</f>
        <v>General</v>
      </c>
      <c r="B16" s="121">
        <f>IF(gen!$C$50&lt;&gt;0,gen!$C$50,"  ")</f>
        <v>34672.080000000002</v>
      </c>
      <c r="C16" s="118">
        <f>IF(inputPrYr!D38&gt;0,inputPrYr!D38,"  ")</f>
        <v>5</v>
      </c>
      <c r="D16" s="121">
        <f>IF(gen!$D$50&lt;&gt;0,gen!$D$50,"  ")</f>
        <v>37300</v>
      </c>
      <c r="E16" s="118">
        <f>IF(inputOth!D16&gt;0,inputOth!D16,"  ")</f>
        <v>4.9029999999999996</v>
      </c>
      <c r="F16" s="121">
        <f>IF(gen!$E$50&lt;&gt;0,gen!$E$50,"  ")</f>
        <v>49488</v>
      </c>
      <c r="G16" s="121">
        <f>IF(gen!$E$57&lt;&gt;0,gen!$E$57,"  ")</f>
        <v>32138.080000000002</v>
      </c>
      <c r="H16" s="118">
        <f>IF(gen!E57&gt;0,ROUND(G16/$F$22*1000,3)," ")</f>
        <v>4.8879999999999999</v>
      </c>
      <c r="J16" s="631" t="str">
        <f>CONCATENATE("Want The Mill Rate The Same As For ",I3-1,"?")</f>
        <v>Want The Mill Rate The Same As For 2013?</v>
      </c>
      <c r="K16" s="634"/>
      <c r="L16" s="634"/>
      <c r="M16" s="635"/>
    </row>
    <row r="17" spans="1:13" ht="16.5" thickBot="1">
      <c r="A17" s="122" t="str">
        <f>IF((inputPrYr!$B$30&gt;" "),(NonBud!$A$3),"")</f>
        <v>Non-Budgeted Funds</v>
      </c>
      <c r="B17" s="537" t="str">
        <f>IF(NonBud!K28&gt;0,NonBud!K28,"")</f>
        <v/>
      </c>
      <c r="C17" s="536"/>
      <c r="D17" s="537"/>
      <c r="E17" s="536"/>
      <c r="F17" s="537"/>
      <c r="G17" s="537"/>
      <c r="H17" s="536"/>
      <c r="J17" s="564"/>
      <c r="K17" s="564"/>
      <c r="L17" s="564"/>
      <c r="M17" s="564"/>
    </row>
    <row r="18" spans="1:13">
      <c r="A18" s="35" t="s">
        <v>132</v>
      </c>
      <c r="B18" s="313">
        <f>SUM(B16:B17)</f>
        <v>34672.080000000002</v>
      </c>
      <c r="C18" s="538">
        <f t="shared" ref="C18:H18" si="0">SUM(C16:C16)</f>
        <v>5</v>
      </c>
      <c r="D18" s="313">
        <f t="shared" si="0"/>
        <v>37300</v>
      </c>
      <c r="E18" s="538">
        <f t="shared" si="0"/>
        <v>4.9029999999999996</v>
      </c>
      <c r="F18" s="313">
        <f t="shared" si="0"/>
        <v>49488</v>
      </c>
      <c r="G18" s="313">
        <f t="shared" si="0"/>
        <v>32138.080000000002</v>
      </c>
      <c r="H18" s="538">
        <f t="shared" si="0"/>
        <v>4.8879999999999999</v>
      </c>
      <c r="J18" s="631" t="str">
        <f>CONCATENATE("Impact On Keeping The Same Mill Rate As For ",I3-1,"")</f>
        <v>Impact On Keeping The Same Mill Rate As For 2013</v>
      </c>
      <c r="K18" s="636"/>
      <c r="L18" s="636"/>
      <c r="M18" s="637"/>
    </row>
    <row r="19" spans="1:13">
      <c r="A19" s="35" t="s">
        <v>162</v>
      </c>
      <c r="B19" s="207">
        <f>transfers!C26</f>
        <v>0</v>
      </c>
      <c r="C19" s="126"/>
      <c r="D19" s="207">
        <f>transfers!D26</f>
        <v>0</v>
      </c>
      <c r="E19" s="126"/>
      <c r="F19" s="310">
        <f>transfers!E26</f>
        <v>0</v>
      </c>
      <c r="G19" s="253"/>
      <c r="H19" s="311"/>
      <c r="J19" s="562"/>
      <c r="K19" s="557"/>
      <c r="L19" s="557"/>
      <c r="M19" s="563"/>
    </row>
    <row r="20" spans="1:13" ht="16.5" thickBot="1">
      <c r="A20" s="35" t="s">
        <v>163</v>
      </c>
      <c r="B20" s="129">
        <f>SUM(B18-B19)</f>
        <v>34672.080000000002</v>
      </c>
      <c r="C20" s="312"/>
      <c r="D20" s="129">
        <f>SUM(D18-D19)</f>
        <v>37300</v>
      </c>
      <c r="E20" s="312"/>
      <c r="F20" s="535">
        <f>SUM(F18-F19)</f>
        <v>49488</v>
      </c>
      <c r="G20" s="253"/>
      <c r="H20" s="311"/>
      <c r="J20" s="562" t="str">
        <f>CONCATENATE("",I3," Ad Valorem Tax Revenue:")</f>
        <v>2014 Ad Valorem Tax Revenue:</v>
      </c>
      <c r="K20" s="557"/>
      <c r="L20" s="557"/>
      <c r="M20" s="558">
        <f>G18</f>
        <v>32138.080000000002</v>
      </c>
    </row>
    <row r="21" spans="1:13" ht="16.5" thickTop="1">
      <c r="A21" s="35" t="s">
        <v>54</v>
      </c>
      <c r="B21" s="313">
        <f>inputPrYr!E44</f>
        <v>31466</v>
      </c>
      <c r="C21" s="223"/>
      <c r="D21" s="313">
        <f>inputPrYr!E24</f>
        <v>31708</v>
      </c>
      <c r="E21" s="223"/>
      <c r="F21" s="314" t="s">
        <v>168</v>
      </c>
      <c r="G21" s="18"/>
      <c r="H21" s="18"/>
      <c r="J21" s="562" t="str">
        <f>CONCATENATE("",I3-1," Ad Valorem Tax Revenue:")</f>
        <v>2013 Ad Valorem Tax Revenue:</v>
      </c>
      <c r="K21" s="557"/>
      <c r="L21" s="557"/>
      <c r="M21" s="565" t="e">
        <f>ROUND(F22*#REF!/1000,0)</f>
        <v>#REF!</v>
      </c>
    </row>
    <row r="22" spans="1:13">
      <c r="A22" s="35" t="s">
        <v>164</v>
      </c>
      <c r="B22" s="207">
        <f>inputPrYr!E45</f>
        <v>6293382</v>
      </c>
      <c r="C22" s="223"/>
      <c r="D22" s="207">
        <f>inputOth!E24</f>
        <v>6467722</v>
      </c>
      <c r="E22" s="223"/>
      <c r="F22" s="207">
        <f>inputOth!E7</f>
        <v>6574673</v>
      </c>
      <c r="G22" s="18"/>
      <c r="H22" s="18"/>
      <c r="J22" s="566" t="s">
        <v>679</v>
      </c>
      <c r="K22" s="567"/>
      <c r="L22" s="567"/>
      <c r="M22" s="561" t="e">
        <f>M20-M21</f>
        <v>#REF!</v>
      </c>
    </row>
    <row r="23" spans="1:13">
      <c r="A23" s="268" t="s">
        <v>55</v>
      </c>
      <c r="B23" s="18"/>
      <c r="C23" s="18"/>
      <c r="D23" s="18"/>
      <c r="E23" s="234"/>
      <c r="F23" s="234"/>
      <c r="G23" s="18"/>
      <c r="H23" s="54"/>
    </row>
    <row r="24" spans="1:13">
      <c r="A24" s="56"/>
      <c r="B24" s="18"/>
      <c r="C24" s="18"/>
      <c r="D24" s="18"/>
      <c r="E24" s="18"/>
      <c r="F24" s="18"/>
      <c r="G24" s="18"/>
      <c r="H24" s="56"/>
    </row>
    <row r="25" spans="1:13">
      <c r="A25" s="638" t="s">
        <v>755</v>
      </c>
      <c r="B25" s="639"/>
      <c r="C25" s="95"/>
      <c r="D25" s="18"/>
      <c r="E25" s="18"/>
      <c r="F25" s="18"/>
      <c r="G25" s="18"/>
      <c r="H25" s="54"/>
    </row>
    <row r="26" spans="1:13">
      <c r="A26" s="26" t="s">
        <v>756</v>
      </c>
      <c r="B26" s="26"/>
      <c r="C26" s="18"/>
      <c r="D26" s="138" t="s">
        <v>44</v>
      </c>
      <c r="E26" s="539">
        <v>8</v>
      </c>
      <c r="F26" s="18"/>
      <c r="G26" s="18"/>
      <c r="H26" s="54"/>
    </row>
    <row r="28" spans="1:13">
      <c r="A28" s="16"/>
      <c r="B28" s="16"/>
      <c r="C28" s="16"/>
      <c r="D28" s="16"/>
      <c r="E28" s="16"/>
      <c r="F28" s="16"/>
      <c r="G28" s="16"/>
      <c r="H28"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row r="38" spans="1:8">
      <c r="A38" s="16"/>
      <c r="B38" s="16"/>
      <c r="C38" s="16"/>
      <c r="D38" s="16"/>
      <c r="E38" s="16"/>
      <c r="F38" s="16"/>
      <c r="G38" s="16"/>
      <c r="H38" s="16"/>
    </row>
  </sheetData>
  <sheetProtection sheet="1" objects="1" scenarios="1"/>
  <mergeCells count="10">
    <mergeCell ref="J12:M12"/>
    <mergeCell ref="J16:M16"/>
    <mergeCell ref="J18:M18"/>
    <mergeCell ref="A25:B25"/>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5" t="str">
        <f>inputPrYr!D3</f>
        <v>Ohio/Princeton Fire</v>
      </c>
      <c r="B1" s="54"/>
      <c r="C1" s="54"/>
      <c r="D1" s="54"/>
      <c r="E1" s="54"/>
      <c r="F1" s="54">
        <f>inputPrYr!D6</f>
        <v>2014</v>
      </c>
    </row>
    <row r="2" spans="1:6" ht="15.75">
      <c r="A2" s="315"/>
      <c r="B2" s="54"/>
      <c r="C2" s="54"/>
      <c r="D2" s="54"/>
      <c r="E2" s="54"/>
      <c r="F2" s="54"/>
    </row>
    <row r="3" spans="1:6" ht="15.75">
      <c r="A3" s="54"/>
      <c r="B3" s="54"/>
      <c r="C3" s="54"/>
      <c r="D3" s="54"/>
      <c r="E3" s="54"/>
      <c r="F3" s="54"/>
    </row>
    <row r="4" spans="1:6" ht="15.75">
      <c r="A4" s="18"/>
      <c r="B4" s="598" t="str">
        <f>CONCATENATE("",F1," Neighborhood Revitalization Rebate")</f>
        <v>2014 Neighborhood Revitalization Rebate</v>
      </c>
      <c r="C4" s="647"/>
      <c r="D4" s="647"/>
      <c r="E4" s="640"/>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6" t="str">
        <f>CONCATENATE("",F1-1," Mil Rate before Rebate")</f>
        <v>2013 Mil Rate before Rebate</v>
      </c>
      <c r="E6" s="317" t="str">
        <f>CONCATENATE("Estimate ",F1," NR Rebate")</f>
        <v>Estimate 2014 NR Rebate</v>
      </c>
      <c r="F6" s="54"/>
    </row>
    <row r="7" spans="1:6" ht="15.75">
      <c r="A7" s="18"/>
      <c r="B7" s="318" t="str">
        <f>inputPrYr!B19</f>
        <v>General</v>
      </c>
      <c r="C7" s="319"/>
      <c r="D7" s="320" t="str">
        <f t="shared" ref="D7:D12" si="0">IF(C7&gt;0,C7/$D$18,"")</f>
        <v/>
      </c>
      <c r="E7" s="116" t="str">
        <f t="shared" ref="E7:E12" si="1">IF(C7&gt;0,ROUND(D7*$D$22,0),"")</f>
        <v/>
      </c>
      <c r="F7" s="54"/>
    </row>
    <row r="8" spans="1:6" ht="15.75">
      <c r="A8" s="18"/>
      <c r="B8" s="318">
        <f>inputPrYr!B20</f>
        <v>0</v>
      </c>
      <c r="C8" s="319"/>
      <c r="D8" s="320" t="str">
        <f t="shared" si="0"/>
        <v/>
      </c>
      <c r="E8" s="116" t="str">
        <f t="shared" si="1"/>
        <v/>
      </c>
      <c r="F8" s="54"/>
    </row>
    <row r="9" spans="1:6" ht="15.75">
      <c r="A9" s="18"/>
      <c r="B9" s="121" t="str">
        <f>IF(inputPrYr!$B22&gt;"  ",(inputPrYr!$B22),"  ")</f>
        <v xml:space="preserve">  </v>
      </c>
      <c r="C9" s="319"/>
      <c r="D9" s="320" t="str">
        <f t="shared" si="0"/>
        <v/>
      </c>
      <c r="E9" s="116" t="str">
        <f t="shared" si="1"/>
        <v/>
      </c>
      <c r="F9" s="54"/>
    </row>
    <row r="10" spans="1:6" ht="15.75">
      <c r="A10" s="18"/>
      <c r="B10" s="121" t="str">
        <f>IF(inputPrYr!$B23&gt;"  ",(inputPrYr!$B23),"  ")</f>
        <v xml:space="preserve">  </v>
      </c>
      <c r="C10" s="319"/>
      <c r="D10" s="320" t="str">
        <f t="shared" si="0"/>
        <v/>
      </c>
      <c r="E10" s="116" t="str">
        <f t="shared" si="1"/>
        <v/>
      </c>
      <c r="F10" s="54"/>
    </row>
    <row r="11" spans="1:6" ht="15.75">
      <c r="A11" s="18"/>
      <c r="B11" s="121"/>
      <c r="C11" s="319"/>
      <c r="D11" s="320" t="str">
        <f t="shared" si="0"/>
        <v/>
      </c>
      <c r="E11" s="116" t="str">
        <f t="shared" si="1"/>
        <v/>
      </c>
      <c r="F11" s="54"/>
    </row>
    <row r="12" spans="1:6" ht="15.75">
      <c r="A12" s="18"/>
      <c r="B12" s="121"/>
      <c r="C12" s="319"/>
      <c r="D12" s="320" t="str">
        <f t="shared" si="0"/>
        <v/>
      </c>
      <c r="E12" s="116" t="str">
        <f t="shared" si="1"/>
        <v/>
      </c>
      <c r="F12" s="54"/>
    </row>
    <row r="13" spans="1:6" ht="16.5" thickBot="1">
      <c r="A13" s="18"/>
      <c r="B13" s="38" t="s">
        <v>205</v>
      </c>
      <c r="C13" s="321">
        <f>SUM(C7:C12)</f>
        <v>0</v>
      </c>
      <c r="D13" s="322">
        <f>SUM(D7:D12)</f>
        <v>0</v>
      </c>
      <c r="E13" s="321">
        <f>SUM(E7:E12)</f>
        <v>0</v>
      </c>
      <c r="F13" s="54"/>
    </row>
    <row r="14" spans="1:6" ht="16.5" thickTop="1">
      <c r="A14" s="18"/>
      <c r="B14" s="18"/>
      <c r="C14" s="18"/>
      <c r="D14" s="18"/>
      <c r="E14" s="18"/>
      <c r="F14" s="54"/>
    </row>
    <row r="15" spans="1:6" ht="15.75">
      <c r="A15" s="18"/>
      <c r="B15" s="18"/>
      <c r="C15" s="18"/>
      <c r="D15" s="18"/>
      <c r="E15" s="18"/>
      <c r="F15" s="54"/>
    </row>
    <row r="16" spans="1:6" ht="15.75">
      <c r="A16" s="648" t="str">
        <f>CONCATENATE("",F1-1," July 1 Valuation:")</f>
        <v>2013 July 1 Valuation:</v>
      </c>
      <c r="B16" s="646"/>
      <c r="C16" s="648"/>
      <c r="D16" s="323">
        <f>inputOth!E7</f>
        <v>6574673</v>
      </c>
      <c r="E16" s="18"/>
      <c r="F16" s="54"/>
    </row>
    <row r="17" spans="1:6" ht="15.75">
      <c r="A17" s="18"/>
      <c r="B17" s="18"/>
      <c r="C17" s="18"/>
      <c r="D17" s="18"/>
      <c r="E17" s="18"/>
      <c r="F17" s="54"/>
    </row>
    <row r="18" spans="1:6" ht="15.75">
      <c r="A18" s="18"/>
      <c r="B18" s="648" t="s">
        <v>317</v>
      </c>
      <c r="C18" s="648"/>
      <c r="D18" s="324">
        <f>IF(D16&gt;0,(D16*0.001),"")</f>
        <v>6574.6729999999998</v>
      </c>
      <c r="E18" s="18"/>
      <c r="F18" s="54"/>
    </row>
    <row r="19" spans="1:6" ht="15.75">
      <c r="A19" s="18"/>
      <c r="B19" s="138"/>
      <c r="C19" s="138"/>
      <c r="D19" s="325"/>
      <c r="E19" s="18"/>
      <c r="F19" s="54"/>
    </row>
    <row r="20" spans="1:6" ht="15.75">
      <c r="A20" s="645" t="s">
        <v>315</v>
      </c>
      <c r="B20" s="640"/>
      <c r="C20" s="640"/>
      <c r="D20" s="326">
        <f>inputOth!E12</f>
        <v>0</v>
      </c>
      <c r="E20" s="58"/>
      <c r="F20" s="58"/>
    </row>
    <row r="21" spans="1:6">
      <c r="A21" s="58"/>
      <c r="B21" s="58"/>
      <c r="C21" s="58"/>
      <c r="D21" s="327"/>
      <c r="E21" s="58"/>
      <c r="F21" s="58"/>
    </row>
    <row r="22" spans="1:6" ht="15.75">
      <c r="A22" s="58"/>
      <c r="B22" s="645" t="s">
        <v>316</v>
      </c>
      <c r="C22" s="646"/>
      <c r="D22" s="328"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2"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2" t="s">
        <v>555</v>
      </c>
      <c r="B27" s="58"/>
      <c r="C27" s="58"/>
      <c r="D27" s="58"/>
      <c r="E27" s="58"/>
      <c r="F27" s="58"/>
    </row>
    <row r="28" spans="1:6" ht="15.75">
      <c r="A28" s="382"/>
      <c r="B28" s="58"/>
      <c r="C28" s="58"/>
      <c r="D28" s="58"/>
      <c r="E28" s="58"/>
      <c r="F28" s="58"/>
    </row>
    <row r="29" spans="1:6" ht="15.75">
      <c r="A29" s="382"/>
      <c r="B29" s="58"/>
      <c r="C29" s="58"/>
      <c r="D29" s="58"/>
      <c r="E29" s="58"/>
      <c r="F29" s="58"/>
    </row>
    <row r="30" spans="1:6" ht="15.75">
      <c r="A30" s="382"/>
      <c r="B30" s="58"/>
      <c r="C30" s="58"/>
      <c r="D30" s="58"/>
      <c r="E30" s="58"/>
      <c r="F30" s="58"/>
    </row>
    <row r="31" spans="1:6" ht="15.75">
      <c r="A31" s="382"/>
      <c r="B31" s="58"/>
      <c r="C31" s="58"/>
      <c r="D31" s="58"/>
      <c r="E31" s="58"/>
      <c r="F31" s="58"/>
    </row>
    <row r="32" spans="1:6" ht="15.75">
      <c r="A32" s="382"/>
      <c r="B32" s="58"/>
      <c r="C32" s="58"/>
      <c r="D32" s="58"/>
      <c r="E32" s="58"/>
      <c r="F32" s="58"/>
    </row>
    <row r="33" spans="1:6" ht="15.75">
      <c r="A33" s="382"/>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22"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9" t="s">
        <v>7</v>
      </c>
      <c r="B1" s="580"/>
      <c r="C1" s="580"/>
      <c r="D1" s="580"/>
      <c r="E1" s="580"/>
    </row>
    <row r="2" spans="1:5">
      <c r="A2" s="17"/>
      <c r="B2" s="18"/>
      <c r="C2" s="18"/>
      <c r="D2" s="18"/>
      <c r="E2" s="18"/>
    </row>
    <row r="3" spans="1:5">
      <c r="A3" s="19" t="s">
        <v>129</v>
      </c>
      <c r="B3" s="18"/>
      <c r="C3" s="18"/>
      <c r="D3" s="20" t="s">
        <v>733</v>
      </c>
      <c r="E3" s="21"/>
    </row>
    <row r="4" spans="1:5">
      <c r="A4" s="19" t="s">
        <v>224</v>
      </c>
      <c r="B4" s="18"/>
      <c r="C4" s="18"/>
      <c r="D4" s="22" t="s">
        <v>729</v>
      </c>
      <c r="E4" s="21"/>
    </row>
    <row r="5" spans="1:5">
      <c r="A5" s="17"/>
      <c r="B5" s="18"/>
      <c r="C5" s="18"/>
      <c r="D5" s="23"/>
      <c r="E5" s="21"/>
    </row>
    <row r="6" spans="1:5">
      <c r="A6" s="19" t="s">
        <v>148</v>
      </c>
      <c r="B6" s="18"/>
      <c r="C6" s="18"/>
      <c r="D6" s="24">
        <v>2014</v>
      </c>
      <c r="E6" s="21"/>
    </row>
    <row r="7" spans="1:5">
      <c r="A7" s="18"/>
      <c r="B7" s="18"/>
      <c r="C7" s="18"/>
      <c r="D7" s="18"/>
      <c r="E7" s="18"/>
    </row>
    <row r="8" spans="1:5">
      <c r="A8" s="581" t="s">
        <v>203</v>
      </c>
      <c r="B8" s="582"/>
      <c r="C8" s="582"/>
      <c r="D8" s="582"/>
      <c r="E8" s="582"/>
    </row>
    <row r="9" spans="1:5">
      <c r="A9" s="25" t="s">
        <v>76</v>
      </c>
      <c r="B9" s="26"/>
      <c r="C9" s="26"/>
      <c r="D9" s="26"/>
      <c r="E9" s="26"/>
    </row>
    <row r="10" spans="1:5">
      <c r="A10" s="583" t="s">
        <v>202</v>
      </c>
      <c r="B10" s="584"/>
      <c r="C10" s="584"/>
      <c r="D10" s="584"/>
      <c r="E10" s="584"/>
    </row>
    <row r="11" spans="1:5">
      <c r="A11" s="27"/>
      <c r="B11" s="18"/>
      <c r="C11" s="18"/>
      <c r="D11" s="18"/>
      <c r="E11" s="18"/>
    </row>
    <row r="12" spans="1:5">
      <c r="A12" s="577" t="s">
        <v>190</v>
      </c>
      <c r="B12" s="578"/>
      <c r="C12" s="578"/>
      <c r="D12" s="578"/>
      <c r="E12" s="578"/>
    </row>
    <row r="13" spans="1:5">
      <c r="A13" s="27"/>
      <c r="B13" s="18"/>
      <c r="C13" s="18"/>
      <c r="D13" s="18"/>
      <c r="E13" s="18"/>
    </row>
    <row r="14" spans="1:5">
      <c r="A14" s="28" t="s">
        <v>149</v>
      </c>
      <c r="B14" s="29"/>
      <c r="C14" s="18"/>
      <c r="D14" s="18"/>
      <c r="E14" s="18"/>
    </row>
    <row r="15" spans="1:5">
      <c r="A15" s="30" t="str">
        <f>CONCATENATE("the ",D6-1," Budget, Certificate Page:")</f>
        <v>the 2013 Budget, Certificate Page:</v>
      </c>
      <c r="B15" s="31"/>
      <c r="C15" s="18"/>
      <c r="D15" s="18"/>
      <c r="E15" s="18"/>
    </row>
    <row r="16" spans="1:5">
      <c r="A16" s="30" t="s">
        <v>274</v>
      </c>
      <c r="B16" s="31"/>
      <c r="C16" s="18"/>
      <c r="D16" s="18"/>
      <c r="E16" s="18"/>
    </row>
    <row r="17" spans="1:5">
      <c r="A17" s="18"/>
      <c r="B17" s="18"/>
      <c r="C17" s="32"/>
      <c r="D17" s="33">
        <f>D6-1</f>
        <v>2013</v>
      </c>
      <c r="E17" s="585" t="str">
        <f>CONCATENATE("Amount of ",D6-2,"     Ad Valorem Tax")</f>
        <v>Amount of 2012     Ad Valorem Tax</v>
      </c>
    </row>
    <row r="18" spans="1:5">
      <c r="A18" s="17" t="s">
        <v>8</v>
      </c>
      <c r="B18" s="18"/>
      <c r="C18" s="32" t="s">
        <v>9</v>
      </c>
      <c r="D18" s="34" t="s">
        <v>275</v>
      </c>
      <c r="E18" s="586"/>
    </row>
    <row r="19" spans="1:5">
      <c r="A19" s="18"/>
      <c r="B19" s="35" t="s">
        <v>10</v>
      </c>
      <c r="C19" s="425" t="s">
        <v>734</v>
      </c>
      <c r="D19" s="37">
        <v>48787</v>
      </c>
      <c r="E19" s="37">
        <v>31708</v>
      </c>
    </row>
    <row r="20" spans="1:5">
      <c r="A20" s="18"/>
      <c r="B20" s="35"/>
      <c r="C20" s="107"/>
      <c r="D20" s="37"/>
      <c r="E20" s="37"/>
    </row>
    <row r="21" spans="1:5">
      <c r="A21" s="17" t="s">
        <v>11</v>
      </c>
      <c r="B21" s="18"/>
      <c r="C21" s="18"/>
      <c r="D21" s="39"/>
      <c r="E21" s="40"/>
    </row>
    <row r="22" spans="1:5">
      <c r="A22" s="18"/>
      <c r="B22" s="36"/>
      <c r="C22" s="425"/>
      <c r="D22" s="37"/>
      <c r="E22" s="37"/>
    </row>
    <row r="23" spans="1:5">
      <c r="A23" s="18"/>
      <c r="B23" s="36"/>
      <c r="C23" s="425"/>
      <c r="D23" s="37"/>
      <c r="E23" s="37"/>
    </row>
    <row r="24" spans="1:5">
      <c r="A24" s="41" t="str">
        <f>CONCATENATE("Total Ad Valorem Tax for ",D6-1," Budgeted Year")</f>
        <v>Total Ad Valorem Tax for 2013 Budgeted Year</v>
      </c>
      <c r="B24" s="42"/>
      <c r="C24" s="42"/>
      <c r="D24" s="43"/>
      <c r="E24" s="44">
        <f>SUM(E19:E20,E22:E23)</f>
        <v>31708</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48787</v>
      </c>
      <c r="E28" s="39"/>
    </row>
    <row r="29" spans="1:5">
      <c r="A29" s="18" t="s">
        <v>242</v>
      </c>
      <c r="B29" s="18"/>
      <c r="C29" s="18"/>
      <c r="D29" s="18"/>
      <c r="E29" s="39"/>
    </row>
    <row r="30" spans="1:5">
      <c r="A30" s="18">
        <v>1</v>
      </c>
      <c r="B30" s="48" t="s">
        <v>735</v>
      </c>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149</v>
      </c>
      <c r="B36" s="29"/>
      <c r="C36" s="18"/>
      <c r="D36" s="575" t="str">
        <f>CONCATENATE("",D6-3," Tax Rate          (",D6-2," Column)")</f>
        <v>2011 Tax Rate          (2012 Column)</v>
      </c>
      <c r="E36" s="39"/>
    </row>
    <row r="37" spans="1:5">
      <c r="A37" s="30" t="str">
        <f>CONCATENATE("the ",D6-1," Budget, Budget Summary Page:")</f>
        <v>the 2013 Budget, Budget Summary Page:</v>
      </c>
      <c r="B37" s="31"/>
      <c r="C37" s="18"/>
      <c r="D37" s="576"/>
      <c r="E37" s="39"/>
    </row>
    <row r="38" spans="1:5">
      <c r="A38" s="18"/>
      <c r="B38" s="38" t="str">
        <f>B19</f>
        <v>General</v>
      </c>
      <c r="C38" s="18"/>
      <c r="D38" s="49">
        <v>5</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5</v>
      </c>
      <c r="E42" s="39"/>
    </row>
    <row r="43" spans="1:5" ht="16.5" thickTop="1">
      <c r="A43" s="18"/>
      <c r="B43" s="18"/>
      <c r="C43" s="18"/>
      <c r="D43" s="18"/>
      <c r="E43" s="39"/>
    </row>
    <row r="44" spans="1:5">
      <c r="A44" s="51" t="str">
        <f>CONCATENATE("Total Tax Levied (",D6-2," budget column)")</f>
        <v>Total Tax Levied (2012 budget column)</v>
      </c>
      <c r="B44" s="29"/>
      <c r="C44" s="18"/>
      <c r="D44" s="18"/>
      <c r="E44" s="52">
        <v>31466</v>
      </c>
    </row>
    <row r="45" spans="1:5">
      <c r="A45" s="51" t="str">
        <f>CONCATENATE("Assessed Valuation (",D6-2," budget column)")</f>
        <v>Assessed Valuation (2012 budget column)</v>
      </c>
      <c r="B45" s="29"/>
      <c r="C45" s="18"/>
      <c r="D45" s="18"/>
      <c r="E45" s="53">
        <v>6293382</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57" t="s">
        <v>137</v>
      </c>
      <c r="C1" s="657"/>
      <c r="D1" s="657"/>
      <c r="E1" s="657"/>
      <c r="F1" s="657"/>
      <c r="G1" s="657"/>
      <c r="H1" s="657"/>
    </row>
    <row r="2" spans="2:10">
      <c r="B2" s="6"/>
      <c r="C2"/>
      <c r="D2"/>
      <c r="E2"/>
      <c r="F2"/>
      <c r="G2"/>
      <c r="H2"/>
    </row>
    <row r="3" spans="2:10">
      <c r="B3" s="658" t="s">
        <v>134</v>
      </c>
      <c r="C3" s="658"/>
      <c r="D3" s="658"/>
      <c r="E3" s="658"/>
      <c r="F3" s="658"/>
      <c r="G3" s="658"/>
      <c r="H3" s="658"/>
    </row>
    <row r="4" spans="2:10">
      <c r="B4" s="7"/>
      <c r="C4"/>
      <c r="D4"/>
      <c r="E4"/>
      <c r="F4"/>
      <c r="G4"/>
      <c r="H4"/>
    </row>
    <row r="5" spans="2:10">
      <c r="B5" s="650" t="str">
        <f>CONCATENATE("A resolution expressing the property taxation policy of the Board of ",(inputPrYr!D3)," District with respect to financing the ",inputPrYr!D6," annual budget for ", (inputPrYr!D3)," , ",(inputPrYr!D4)," , Kansas.")</f>
        <v>A resolution expressing the property taxation policy of the Board of Ohio/Princeton Fire District with respect to financing the 2014 annual budget for Ohio/Princeton Fire , Franklin County , Kansas.</v>
      </c>
      <c r="C5" s="651"/>
      <c r="D5" s="651"/>
      <c r="E5" s="651"/>
      <c r="F5" s="651"/>
      <c r="G5" s="651"/>
      <c r="H5" s="651"/>
    </row>
    <row r="6" spans="2:10">
      <c r="B6" s="651"/>
      <c r="C6" s="651"/>
      <c r="D6" s="651"/>
      <c r="E6" s="651"/>
      <c r="F6" s="651"/>
      <c r="G6" s="651"/>
      <c r="H6" s="651"/>
      <c r="J6" s="2" t="str">
        <f>CONCATENATE(J7)</f>
        <v/>
      </c>
    </row>
    <row r="7" spans="2:10">
      <c r="B7" s="11"/>
      <c r="C7"/>
      <c r="D7"/>
      <c r="E7"/>
      <c r="F7"/>
      <c r="G7"/>
      <c r="H7"/>
    </row>
    <row r="8" spans="2:10">
      <c r="B8" s="12" t="s">
        <v>169</v>
      </c>
      <c r="C8"/>
      <c r="D8"/>
      <c r="E8"/>
      <c r="F8"/>
      <c r="G8"/>
      <c r="H8"/>
    </row>
    <row r="9" spans="2:10">
      <c r="B9" s="12" t="str">
        <f>CONCATENATE("",inputPrYr!D6," ",(inputPrYr!D3), " district budget exceed the amount levied to finance the")</f>
        <v>2014 Ohio/Princeton Fire district budget exceed the amount levied to finance the</v>
      </c>
      <c r="C9"/>
      <c r="D9"/>
      <c r="E9"/>
      <c r="F9"/>
      <c r="G9"/>
      <c r="H9"/>
    </row>
    <row r="10" spans="2:10">
      <c r="B10" s="12" t="str">
        <f>CONCATENATE("",inputPrYr!D6-1," ",inputPrYr!D3," except with regard to revenue produced and attributable to the")</f>
        <v>2013 Ohio/Princeton Fire except with regard to revenue produced and attributable to the</v>
      </c>
      <c r="C10"/>
      <c r="D10"/>
      <c r="E10"/>
      <c r="F10"/>
      <c r="G10"/>
      <c r="H10"/>
    </row>
    <row r="11" spans="2:10">
      <c r="B11" s="654" t="s">
        <v>170</v>
      </c>
      <c r="C11" s="659"/>
      <c r="D11" s="659"/>
      <c r="E11" s="659"/>
      <c r="F11" s="659"/>
      <c r="G11" s="659"/>
      <c r="H11" s="659"/>
    </row>
    <row r="12" spans="2:10">
      <c r="B12" s="659"/>
      <c r="C12" s="659"/>
      <c r="D12" s="659"/>
      <c r="E12" s="659"/>
      <c r="F12" s="659"/>
      <c r="G12" s="659"/>
      <c r="H12" s="659"/>
    </row>
    <row r="13" spans="2:10">
      <c r="B13" s="659"/>
      <c r="C13" s="659"/>
      <c r="D13" s="659"/>
      <c r="E13" s="659"/>
      <c r="F13" s="659"/>
      <c r="G13" s="659"/>
      <c r="H13" s="659"/>
    </row>
    <row r="14" spans="2:10">
      <c r="B14" s="659"/>
      <c r="C14" s="659"/>
      <c r="D14" s="659"/>
      <c r="E14" s="659"/>
      <c r="F14" s="659"/>
      <c r="G14" s="659"/>
      <c r="H14" s="659"/>
    </row>
    <row r="15" spans="2:10">
      <c r="B15" s="1"/>
      <c r="C15" s="1"/>
      <c r="D15" s="1"/>
      <c r="E15" s="1"/>
      <c r="F15" s="1"/>
      <c r="G15" s="1"/>
      <c r="H15" s="1"/>
    </row>
    <row r="16" spans="2:10">
      <c r="B16" s="652" t="s">
        <v>146</v>
      </c>
      <c r="C16" s="653"/>
      <c r="D16" s="653"/>
      <c r="E16" s="653"/>
      <c r="F16" s="653"/>
      <c r="G16" s="653"/>
      <c r="H16" s="653"/>
    </row>
    <row r="17" spans="2:8">
      <c r="B17" s="653"/>
      <c r="C17" s="653"/>
      <c r="D17" s="653"/>
      <c r="E17" s="653"/>
      <c r="F17" s="653"/>
      <c r="G17" s="653"/>
      <c r="H17" s="653"/>
    </row>
    <row r="18" spans="2:8">
      <c r="B18" s="12"/>
      <c r="C18"/>
      <c r="D18"/>
      <c r="E18"/>
      <c r="F18"/>
      <c r="G18"/>
      <c r="H18"/>
    </row>
    <row r="19" spans="2:8">
      <c r="B19" s="12" t="str">
        <f>CONCATENATE("Whereas, ",(inputPrYr!D3)," provides essential services to district residents; and")</f>
        <v>Whereas, Ohio/Princeton Fire provides essential services to district residents; and</v>
      </c>
      <c r="C19"/>
      <c r="D19"/>
      <c r="E19"/>
      <c r="F19"/>
      <c r="G19"/>
      <c r="H19"/>
    </row>
    <row r="20" spans="2:8">
      <c r="B20" s="12"/>
      <c r="C20"/>
      <c r="D20"/>
      <c r="E20"/>
      <c r="F20"/>
      <c r="G20"/>
      <c r="H20"/>
    </row>
    <row r="21" spans="2:8">
      <c r="B21" s="12" t="s">
        <v>147</v>
      </c>
      <c r="C21"/>
      <c r="D21"/>
      <c r="E21"/>
      <c r="F21"/>
      <c r="G21"/>
      <c r="H21"/>
    </row>
    <row r="22" spans="2:8">
      <c r="B22" s="12"/>
      <c r="C22"/>
      <c r="D22"/>
      <c r="E22"/>
      <c r="F22"/>
      <c r="G22"/>
      <c r="H22"/>
    </row>
    <row r="23" spans="2:8">
      <c r="B23" s="654"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Ohio/Princeton Fire that is our desire to notify the public of the possibility of increased property taxes to finance the 2014 Ohio/Princeton Fire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2" t="str">
        <f>CONCATENATE("Adopted this _________ day of ___________, ",inputPrYr!D6-1," by the ",(inputPrYr!D3)," District Board, ",(inputPrYr!D4),", Kansas.")</f>
        <v>Adopted this _________ day of ___________, 2013 by the Ohio/Princeton Fire District Board, Franklin County, Kansas.</v>
      </c>
      <c r="C27" s="651"/>
      <c r="D27" s="651"/>
      <c r="E27" s="651"/>
      <c r="F27" s="651"/>
      <c r="G27" s="651"/>
      <c r="H27" s="651"/>
    </row>
    <row r="28" spans="2:8">
      <c r="B28" s="651"/>
      <c r="C28" s="651"/>
      <c r="D28" s="651"/>
      <c r="E28" s="651"/>
      <c r="F28" s="651"/>
      <c r="G28" s="651"/>
      <c r="H28" s="651"/>
    </row>
    <row r="29" spans="2:8">
      <c r="B29" s="8"/>
      <c r="C29"/>
      <c r="D29"/>
      <c r="E29"/>
      <c r="F29"/>
      <c r="G29"/>
      <c r="H29"/>
    </row>
    <row r="30" spans="2:8">
      <c r="B30" s="8"/>
      <c r="C30"/>
      <c r="D30"/>
      <c r="E30"/>
      <c r="F30"/>
      <c r="G30"/>
      <c r="H30"/>
    </row>
    <row r="31" spans="2:8">
      <c r="B31" s="9" t="str">
        <f>CONCATENATE(" ",(inputPrYr!D3)," District Board")</f>
        <v xml:space="preserve"> Ohio/Princeton Fire District Board</v>
      </c>
      <c r="C31"/>
      <c r="D31"/>
      <c r="E31"/>
      <c r="F31"/>
      <c r="G31"/>
      <c r="H31"/>
    </row>
    <row r="32" spans="2:8">
      <c r="B32" s="8"/>
      <c r="C32"/>
      <c r="D32"/>
      <c r="E32"/>
      <c r="F32"/>
      <c r="G32"/>
      <c r="H32"/>
    </row>
    <row r="33" spans="2:8">
      <c r="B33"/>
      <c r="C33"/>
      <c r="D33"/>
      <c r="E33" s="656" t="s">
        <v>135</v>
      </c>
      <c r="F33" s="656"/>
      <c r="G33" s="656"/>
      <c r="H33" s="656"/>
    </row>
    <row r="34" spans="2:8">
      <c r="B34"/>
      <c r="C34"/>
      <c r="D34"/>
      <c r="E34" s="656" t="s">
        <v>138</v>
      </c>
      <c r="F34" s="656"/>
      <c r="G34" s="656"/>
      <c r="H34" s="656"/>
    </row>
    <row r="35" spans="2:8">
      <c r="B35" s="8"/>
      <c r="C35"/>
      <c r="D35"/>
      <c r="E35" s="656"/>
      <c r="F35" s="656"/>
      <c r="G35" s="656"/>
      <c r="H35" s="656"/>
    </row>
    <row r="36" spans="2:8">
      <c r="B36"/>
      <c r="C36"/>
      <c r="D36"/>
      <c r="E36" s="656" t="s">
        <v>135</v>
      </c>
      <c r="F36" s="656"/>
      <c r="G36" s="656"/>
      <c r="H36" s="656"/>
    </row>
    <row r="37" spans="2:8">
      <c r="B37"/>
      <c r="C37"/>
      <c r="D37"/>
      <c r="E37" s="656" t="s">
        <v>139</v>
      </c>
      <c r="F37" s="656"/>
      <c r="G37" s="656"/>
      <c r="H37" s="656"/>
    </row>
    <row r="38" spans="2:8">
      <c r="B38" s="8"/>
      <c r="C38"/>
      <c r="D38"/>
      <c r="E38" s="656"/>
      <c r="F38" s="656"/>
      <c r="G38" s="656"/>
      <c r="H38" s="656"/>
    </row>
    <row r="39" spans="2:8">
      <c r="B39"/>
      <c r="C39"/>
      <c r="D39"/>
      <c r="E39" s="656" t="s">
        <v>135</v>
      </c>
      <c r="F39" s="656"/>
      <c r="G39" s="656"/>
      <c r="H39" s="656"/>
    </row>
    <row r="40" spans="2:8">
      <c r="B40"/>
      <c r="C40"/>
      <c r="D40"/>
      <c r="E40" s="656" t="s">
        <v>140</v>
      </c>
      <c r="F40" s="656"/>
      <c r="G40" s="656"/>
      <c r="H40" s="656"/>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136</v>
      </c>
      <c r="E46" s="649"/>
      <c r="F46" s="649"/>
      <c r="G46" s="649"/>
      <c r="H46" s="649"/>
    </row>
    <row r="47" spans="2:8">
      <c r="B47" s="3"/>
      <c r="E47" s="649"/>
      <c r="F47" s="649"/>
      <c r="G47" s="649"/>
      <c r="H47" s="649"/>
    </row>
    <row r="48" spans="2:8">
      <c r="E48" s="649"/>
      <c r="F48" s="649"/>
      <c r="G48" s="649"/>
      <c r="H48" s="649"/>
    </row>
    <row r="49" spans="2:8">
      <c r="E49" s="649"/>
      <c r="F49" s="649"/>
      <c r="G49" s="649"/>
      <c r="H49" s="649"/>
    </row>
    <row r="50" spans="2:8">
      <c r="B50" s="3"/>
      <c r="E50" s="649"/>
      <c r="F50" s="649"/>
      <c r="G50" s="649"/>
      <c r="H50" s="649"/>
    </row>
    <row r="51" spans="2:8">
      <c r="B51" s="5"/>
    </row>
    <row r="52" spans="2:8">
      <c r="B52" s="5"/>
    </row>
    <row r="53" spans="2:8">
      <c r="B53" s="5"/>
    </row>
  </sheetData>
  <mergeCells count="20">
    <mergeCell ref="B1:H1"/>
    <mergeCell ref="B3:H3"/>
    <mergeCell ref="B11:H14"/>
    <mergeCell ref="E39:H39"/>
    <mergeCell ref="E33:H33"/>
    <mergeCell ref="E34:H34"/>
    <mergeCell ref="E35:H35"/>
    <mergeCell ref="E36:H36"/>
    <mergeCell ref="E37:H37"/>
    <mergeCell ref="E38:H38"/>
    <mergeCell ref="E47:H47"/>
    <mergeCell ref="B5:H6"/>
    <mergeCell ref="E50:H50"/>
    <mergeCell ref="E46:H46"/>
    <mergeCell ref="E48:H48"/>
    <mergeCell ref="E49:H49"/>
    <mergeCell ref="B16:H17"/>
    <mergeCell ref="B23:H25"/>
    <mergeCell ref="B27:H28"/>
    <mergeCell ref="E40:H40"/>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2" t="s">
        <v>334</v>
      </c>
      <c r="B3" s="372"/>
      <c r="C3" s="372"/>
      <c r="D3" s="372"/>
      <c r="E3" s="372"/>
      <c r="F3" s="372"/>
      <c r="G3" s="372"/>
      <c r="H3" s="372"/>
      <c r="I3" s="372"/>
      <c r="J3" s="372"/>
      <c r="K3" s="372"/>
      <c r="L3" s="372"/>
    </row>
    <row r="5" spans="1:12">
      <c r="A5" s="373" t="s">
        <v>335</v>
      </c>
    </row>
    <row r="6" spans="1:12">
      <c r="A6" s="373" t="str">
        <f>CONCATENATE(inputPrYr!D6-2," 'total expenditures' exceed your ",inputPrYr!D6-2," 'budget authority.'")</f>
        <v>2012 'total expenditures' exceed your 2012 'budget authority.'</v>
      </c>
    </row>
    <row r="7" spans="1:12">
      <c r="A7" s="373"/>
    </row>
    <row r="8" spans="1:12">
      <c r="A8" s="373" t="s">
        <v>336</v>
      </c>
    </row>
    <row r="9" spans="1:12">
      <c r="A9" s="373" t="s">
        <v>337</v>
      </c>
    </row>
    <row r="10" spans="1:12">
      <c r="A10" s="373" t="s">
        <v>338</v>
      </c>
    </row>
    <row r="11" spans="1:12">
      <c r="A11" s="373"/>
    </row>
    <row r="12" spans="1:12">
      <c r="A12" s="373"/>
    </row>
    <row r="13" spans="1:12">
      <c r="A13" s="374" t="s">
        <v>339</v>
      </c>
    </row>
    <row r="15" spans="1:12">
      <c r="A15" s="373" t="s">
        <v>340</v>
      </c>
    </row>
    <row r="16" spans="1:12">
      <c r="A16" s="373" t="str">
        <f>CONCATENATE("(i.e. an audit has not been completed, or the ",inputPrYr!D6," adopted")</f>
        <v>(i.e. an audit has not been completed, or the 2014 adopted</v>
      </c>
    </row>
    <row r="17" spans="1:1">
      <c r="A17" s="373" t="s">
        <v>341</v>
      </c>
    </row>
    <row r="18" spans="1:1">
      <c r="A18" s="373" t="s">
        <v>342</v>
      </c>
    </row>
    <row r="19" spans="1:1">
      <c r="A19" s="373" t="s">
        <v>343</v>
      </c>
    </row>
    <row r="21" spans="1:1">
      <c r="A21" s="374" t="s">
        <v>344</v>
      </c>
    </row>
    <row r="22" spans="1:1">
      <c r="A22" s="374"/>
    </row>
    <row r="23" spans="1:1">
      <c r="A23" s="373" t="s">
        <v>345</v>
      </c>
    </row>
    <row r="24" spans="1:1">
      <c r="A24" s="373" t="s">
        <v>346</v>
      </c>
    </row>
    <row r="25" spans="1:1">
      <c r="A25" s="373" t="str">
        <f>CONCATENATE("particular fund.  If your ",inputPrYr!D6-2," budget was amended, did you")</f>
        <v>particular fund.  If your 2012 budget was amended, did you</v>
      </c>
    </row>
    <row r="26" spans="1:1">
      <c r="A26" s="373" t="s">
        <v>347</v>
      </c>
    </row>
    <row r="27" spans="1:1">
      <c r="A27" s="373"/>
    </row>
    <row r="28" spans="1:1">
      <c r="A28" s="373" t="str">
        <f>CONCATENATE("Next, look to see if any of your ",inputPrYr!D6-2," expenditures can be")</f>
        <v>Next, look to see if any of your 2012 expenditures can be</v>
      </c>
    </row>
    <row r="29" spans="1:1">
      <c r="A29" s="373" t="s">
        <v>348</v>
      </c>
    </row>
    <row r="30" spans="1:1">
      <c r="A30" s="373" t="s">
        <v>349</v>
      </c>
    </row>
    <row r="31" spans="1:1">
      <c r="A31" s="373" t="s">
        <v>350</v>
      </c>
    </row>
    <row r="32" spans="1:1">
      <c r="A32" s="373"/>
    </row>
    <row r="33" spans="1:1">
      <c r="A33" s="373" t="str">
        <f>CONCATENATE("Additionally, do your ",inputPrYr!D6-2," receipts contain a reimbursement")</f>
        <v>Additionally, do your 2012 receipts contain a reimbursement</v>
      </c>
    </row>
    <row r="34" spans="1:1">
      <c r="A34" s="373" t="s">
        <v>351</v>
      </c>
    </row>
    <row r="35" spans="1:1">
      <c r="A35" s="373" t="s">
        <v>352</v>
      </c>
    </row>
    <row r="36" spans="1:1">
      <c r="A36" s="373"/>
    </row>
    <row r="37" spans="1:1">
      <c r="A37" s="373" t="s">
        <v>356</v>
      </c>
    </row>
    <row r="38" spans="1:1">
      <c r="A38" s="373" t="s">
        <v>357</v>
      </c>
    </row>
    <row r="39" spans="1:1">
      <c r="A39" s="373" t="s">
        <v>358</v>
      </c>
    </row>
    <row r="40" spans="1:1">
      <c r="A40" s="373"/>
    </row>
    <row r="41" spans="1:1">
      <c r="A41" s="374" t="s">
        <v>359</v>
      </c>
    </row>
    <row r="42" spans="1:1">
      <c r="A42" s="373"/>
    </row>
    <row r="43" spans="1:1">
      <c r="A43" s="373" t="s">
        <v>360</v>
      </c>
    </row>
    <row r="44" spans="1:1">
      <c r="A44" s="373" t="s">
        <v>361</v>
      </c>
    </row>
    <row r="45" spans="1:1">
      <c r="A45" s="373" t="s">
        <v>362</v>
      </c>
    </row>
    <row r="46" spans="1:1">
      <c r="A46" s="373" t="s">
        <v>363</v>
      </c>
    </row>
    <row r="47" spans="1:1">
      <c r="A47" s="373" t="s">
        <v>364</v>
      </c>
    </row>
    <row r="48" spans="1:1">
      <c r="A48" s="373" t="s">
        <v>365</v>
      </c>
    </row>
    <row r="49" spans="1:1">
      <c r="A49" s="373" t="s">
        <v>366</v>
      </c>
    </row>
    <row r="50" spans="1:1">
      <c r="A50" s="373" t="s">
        <v>367</v>
      </c>
    </row>
    <row r="51" spans="1:1">
      <c r="A51" s="373" t="s">
        <v>368</v>
      </c>
    </row>
    <row r="52" spans="1:1">
      <c r="A52" s="373" t="s">
        <v>369</v>
      </c>
    </row>
    <row r="53" spans="1:1">
      <c r="A53" s="373" t="s">
        <v>370</v>
      </c>
    </row>
    <row r="54" spans="1:1">
      <c r="A54" s="373" t="s">
        <v>371</v>
      </c>
    </row>
    <row r="55" spans="1:1">
      <c r="A55" s="373" t="s">
        <v>372</v>
      </c>
    </row>
    <row r="56" spans="1:1">
      <c r="A56" s="373"/>
    </row>
    <row r="57" spans="1:1">
      <c r="A57" s="373" t="s">
        <v>373</v>
      </c>
    </row>
    <row r="58" spans="1:1">
      <c r="A58" s="373" t="s">
        <v>374</v>
      </c>
    </row>
    <row r="59" spans="1:1">
      <c r="A59" s="373" t="s">
        <v>375</v>
      </c>
    </row>
    <row r="60" spans="1:1">
      <c r="A60" s="373"/>
    </row>
    <row r="61" spans="1:1">
      <c r="A61" s="374" t="str">
        <f>CONCATENATE("What if the ",inputPrYr!D6-2," financial records have been closed?")</f>
        <v>What if the 2012 financial records have been closed?</v>
      </c>
    </row>
    <row r="63" spans="1:1">
      <c r="A63" s="373" t="s">
        <v>376</v>
      </c>
    </row>
    <row r="64" spans="1:1">
      <c r="A64" s="373" t="str">
        <f>CONCATENATE("(i.e. an audit for ",inputPrYr!D6-2," has been completed, or the ",inputPrYr!D6)</f>
        <v>(i.e. an audit for 2012 has been completed, or the 2014</v>
      </c>
    </row>
    <row r="65" spans="1:1">
      <c r="A65" s="373" t="s">
        <v>377</v>
      </c>
    </row>
    <row r="66" spans="1:1">
      <c r="A66" s="373" t="s">
        <v>378</v>
      </c>
    </row>
    <row r="67" spans="1:1">
      <c r="A67" s="373"/>
    </row>
    <row r="68" spans="1:1">
      <c r="A68" s="373" t="s">
        <v>379</v>
      </c>
    </row>
    <row r="69" spans="1:1">
      <c r="A69" s="373" t="s">
        <v>380</v>
      </c>
    </row>
    <row r="70" spans="1:1">
      <c r="A70" s="373" t="s">
        <v>381</v>
      </c>
    </row>
    <row r="71" spans="1:1">
      <c r="A71" s="373"/>
    </row>
    <row r="72" spans="1:1">
      <c r="A72" s="373" t="s">
        <v>382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2" t="s">
        <v>383</v>
      </c>
      <c r="B3" s="372"/>
      <c r="C3" s="372"/>
      <c r="D3" s="372"/>
      <c r="E3" s="372"/>
      <c r="F3" s="372"/>
      <c r="G3" s="372"/>
      <c r="H3" s="375"/>
      <c r="I3" s="375"/>
      <c r="J3" s="375"/>
    </row>
    <row r="5" spans="1:10">
      <c r="A5" s="373" t="s">
        <v>384</v>
      </c>
    </row>
    <row r="6" spans="1:10">
      <c r="A6" t="str">
        <f>CONCATENATE(inputPrYr!D6-2," expenditures show that you finished the year with a ")</f>
        <v xml:space="preserve">2012 expenditures show that you finished the year with a </v>
      </c>
    </row>
    <row r="7" spans="1:10">
      <c r="A7" t="s">
        <v>385</v>
      </c>
    </row>
    <row r="9" spans="1:10">
      <c r="A9" t="s">
        <v>386</v>
      </c>
    </row>
    <row r="10" spans="1:10">
      <c r="A10" t="s">
        <v>387</v>
      </c>
    </row>
    <row r="11" spans="1:10">
      <c r="A11" t="s">
        <v>388</v>
      </c>
    </row>
    <row r="13" spans="1:10">
      <c r="A13" s="374" t="s">
        <v>389</v>
      </c>
    </row>
    <row r="14" spans="1:10">
      <c r="A14" s="374"/>
    </row>
    <row r="15" spans="1:10">
      <c r="A15" s="373" t="s">
        <v>390</v>
      </c>
    </row>
    <row r="16" spans="1:10">
      <c r="A16" s="373" t="s">
        <v>391</v>
      </c>
    </row>
    <row r="17" spans="1:1">
      <c r="A17" s="373" t="s">
        <v>392</v>
      </c>
    </row>
    <row r="18" spans="1:1">
      <c r="A18" s="373"/>
    </row>
    <row r="19" spans="1:1">
      <c r="A19" s="374" t="s">
        <v>393</v>
      </c>
    </row>
    <row r="20" spans="1:1">
      <c r="A20" s="374"/>
    </row>
    <row r="21" spans="1:1">
      <c r="A21" s="373" t="s">
        <v>394</v>
      </c>
    </row>
    <row r="22" spans="1:1">
      <c r="A22" s="373" t="s">
        <v>395</v>
      </c>
    </row>
    <row r="23" spans="1:1">
      <c r="A23" s="373" t="s">
        <v>396</v>
      </c>
    </row>
    <row r="24" spans="1:1">
      <c r="A24" s="373"/>
    </row>
    <row r="25" spans="1:1">
      <c r="A25" s="374" t="s">
        <v>397</v>
      </c>
    </row>
    <row r="26" spans="1:1">
      <c r="A26" s="374"/>
    </row>
    <row r="27" spans="1:1">
      <c r="A27" s="373" t="s">
        <v>398</v>
      </c>
    </row>
    <row r="28" spans="1:1">
      <c r="A28" s="373" t="s">
        <v>399</v>
      </c>
    </row>
    <row r="29" spans="1:1">
      <c r="A29" s="373" t="s">
        <v>400</v>
      </c>
    </row>
    <row r="30" spans="1:1">
      <c r="A30" s="373"/>
    </row>
    <row r="31" spans="1:1">
      <c r="A31" s="374" t="s">
        <v>401</v>
      </c>
    </row>
    <row r="32" spans="1:1">
      <c r="A32" s="374"/>
    </row>
    <row r="33" spans="1:8">
      <c r="A33" s="373" t="str">
        <f>CONCATENATE("If your financial records for ",inputPrYr!D6-2," are not closed")</f>
        <v>If your financial records for 2012 are not closed</v>
      </c>
      <c r="B33" s="373"/>
      <c r="C33" s="373"/>
      <c r="D33" s="373"/>
      <c r="E33" s="373"/>
      <c r="F33" s="373"/>
      <c r="G33" s="373"/>
      <c r="H33" s="373"/>
    </row>
    <row r="34" spans="1:8">
      <c r="A34" s="373" t="str">
        <f>CONCATENATE("(i.e. an audit has not been completed, or the ",inputPrYr!D6," adopted ")</f>
        <v xml:space="preserve">(i.e. an audit has not been completed, or the 2014 adopted </v>
      </c>
      <c r="B34" s="373"/>
      <c r="C34" s="373"/>
      <c r="D34" s="373"/>
      <c r="E34" s="373"/>
      <c r="F34" s="373"/>
      <c r="G34" s="373"/>
      <c r="H34" s="373"/>
    </row>
    <row r="35" spans="1:8">
      <c r="A35" s="373" t="s">
        <v>402</v>
      </c>
      <c r="B35" s="373"/>
      <c r="C35" s="373"/>
      <c r="D35" s="373"/>
      <c r="E35" s="373"/>
      <c r="F35" s="373"/>
      <c r="G35" s="373"/>
      <c r="H35" s="373"/>
    </row>
    <row r="36" spans="1:8">
      <c r="A36" s="373" t="s">
        <v>403</v>
      </c>
      <c r="B36" s="373"/>
      <c r="C36" s="373"/>
      <c r="D36" s="373"/>
      <c r="E36" s="373"/>
      <c r="F36" s="373"/>
      <c r="G36" s="373"/>
      <c r="H36" s="373"/>
    </row>
    <row r="37" spans="1:8">
      <c r="A37" s="373" t="s">
        <v>404</v>
      </c>
      <c r="B37" s="373"/>
      <c r="C37" s="373"/>
      <c r="D37" s="373"/>
      <c r="E37" s="373"/>
      <c r="F37" s="373"/>
      <c r="G37" s="373"/>
      <c r="H37" s="373"/>
    </row>
    <row r="38" spans="1:8">
      <c r="A38" s="373" t="s">
        <v>405</v>
      </c>
      <c r="B38" s="373"/>
      <c r="C38" s="373"/>
      <c r="D38" s="373"/>
      <c r="E38" s="373"/>
      <c r="F38" s="373"/>
      <c r="G38" s="373"/>
      <c r="H38" s="373"/>
    </row>
    <row r="39" spans="1:8">
      <c r="A39" s="373" t="s">
        <v>406</v>
      </c>
      <c r="B39" s="373"/>
      <c r="C39" s="373"/>
      <c r="D39" s="373"/>
      <c r="E39" s="373"/>
      <c r="F39" s="373"/>
      <c r="G39" s="373"/>
      <c r="H39" s="373"/>
    </row>
    <row r="40" spans="1:8">
      <c r="A40" s="373"/>
      <c r="B40" s="373"/>
      <c r="C40" s="373"/>
      <c r="D40" s="373"/>
      <c r="E40" s="373"/>
      <c r="F40" s="373"/>
      <c r="G40" s="373"/>
      <c r="H40" s="373"/>
    </row>
    <row r="41" spans="1:8">
      <c r="A41" s="373" t="s">
        <v>407</v>
      </c>
      <c r="B41" s="373"/>
      <c r="C41" s="373"/>
      <c r="D41" s="373"/>
      <c r="E41" s="373"/>
      <c r="F41" s="373"/>
      <c r="G41" s="373"/>
      <c r="H41" s="373"/>
    </row>
    <row r="42" spans="1:8">
      <c r="A42" s="373" t="s">
        <v>408</v>
      </c>
      <c r="B42" s="373"/>
      <c r="C42" s="373"/>
      <c r="D42" s="373"/>
      <c r="E42" s="373"/>
      <c r="F42" s="373"/>
      <c r="G42" s="373"/>
      <c r="H42" s="373"/>
    </row>
    <row r="43" spans="1:8">
      <c r="A43" s="373" t="s">
        <v>409</v>
      </c>
      <c r="B43" s="373"/>
      <c r="C43" s="373"/>
      <c r="D43" s="373"/>
      <c r="E43" s="373"/>
      <c r="F43" s="373"/>
      <c r="G43" s="373"/>
      <c r="H43" s="373"/>
    </row>
    <row r="44" spans="1:8">
      <c r="A44" s="373" t="s">
        <v>410</v>
      </c>
      <c r="B44" s="373"/>
      <c r="C44" s="373"/>
      <c r="D44" s="373"/>
      <c r="E44" s="373"/>
      <c r="F44" s="373"/>
      <c r="G44" s="373"/>
      <c r="H44" s="373"/>
    </row>
    <row r="45" spans="1:8">
      <c r="A45" s="373"/>
      <c r="B45" s="373"/>
      <c r="C45" s="373"/>
      <c r="D45" s="373"/>
      <c r="E45" s="373"/>
      <c r="F45" s="373"/>
      <c r="G45" s="373"/>
      <c r="H45" s="373"/>
    </row>
    <row r="46" spans="1:8">
      <c r="A46" s="373" t="s">
        <v>411</v>
      </c>
      <c r="B46" s="373"/>
      <c r="C46" s="373"/>
      <c r="D46" s="373"/>
      <c r="E46" s="373"/>
      <c r="F46" s="373"/>
      <c r="G46" s="373"/>
      <c r="H46" s="373"/>
    </row>
    <row r="47" spans="1:8">
      <c r="A47" s="373" t="s">
        <v>412</v>
      </c>
      <c r="B47" s="373"/>
      <c r="C47" s="373"/>
      <c r="D47" s="373"/>
      <c r="E47" s="373"/>
      <c r="F47" s="373"/>
      <c r="G47" s="373"/>
      <c r="H47" s="373"/>
    </row>
    <row r="48" spans="1:8">
      <c r="A48" s="373" t="s">
        <v>413</v>
      </c>
      <c r="B48" s="373"/>
      <c r="C48" s="373"/>
      <c r="D48" s="373"/>
      <c r="E48" s="373"/>
      <c r="F48" s="373"/>
      <c r="G48" s="373"/>
      <c r="H48" s="373"/>
    </row>
    <row r="49" spans="1:8">
      <c r="A49" s="373" t="s">
        <v>414</v>
      </c>
      <c r="B49" s="373"/>
      <c r="C49" s="373"/>
      <c r="D49" s="373"/>
      <c r="E49" s="373"/>
      <c r="F49" s="373"/>
      <c r="G49" s="373"/>
      <c r="H49" s="373"/>
    </row>
    <row r="50" spans="1:8">
      <c r="A50" s="373" t="s">
        <v>415</v>
      </c>
      <c r="B50" s="373"/>
      <c r="C50" s="373"/>
      <c r="D50" s="373"/>
      <c r="E50" s="373"/>
      <c r="F50" s="373"/>
      <c r="G50" s="373"/>
      <c r="H50" s="373"/>
    </row>
    <row r="51" spans="1:8">
      <c r="A51" s="373"/>
      <c r="B51" s="373"/>
      <c r="C51" s="373"/>
      <c r="D51" s="373"/>
      <c r="E51" s="373"/>
      <c r="F51" s="373"/>
      <c r="G51" s="373"/>
      <c r="H51" s="373"/>
    </row>
    <row r="52" spans="1:8">
      <c r="A52" s="374" t="s">
        <v>416</v>
      </c>
      <c r="B52" s="374"/>
      <c r="C52" s="374"/>
      <c r="D52" s="374"/>
      <c r="E52" s="374"/>
      <c r="F52" s="374"/>
      <c r="G52" s="374"/>
      <c r="H52" s="373"/>
    </row>
    <row r="53" spans="1:8">
      <c r="A53" s="374" t="s">
        <v>417</v>
      </c>
      <c r="B53" s="374"/>
      <c r="C53" s="374"/>
      <c r="D53" s="374"/>
      <c r="E53" s="374"/>
      <c r="F53" s="374"/>
      <c r="G53" s="374"/>
      <c r="H53" s="373"/>
    </row>
    <row r="54" spans="1:8">
      <c r="A54" s="373"/>
      <c r="B54" s="373"/>
      <c r="C54" s="373"/>
      <c r="D54" s="373"/>
      <c r="E54" s="373"/>
      <c r="F54" s="373"/>
      <c r="G54" s="373"/>
      <c r="H54" s="373"/>
    </row>
    <row r="55" spans="1:8">
      <c r="A55" s="373" t="s">
        <v>418</v>
      </c>
      <c r="B55" s="373"/>
      <c r="C55" s="373"/>
      <c r="D55" s="373"/>
      <c r="E55" s="373"/>
      <c r="F55" s="373"/>
      <c r="G55" s="373"/>
      <c r="H55" s="373"/>
    </row>
    <row r="56" spans="1:8">
      <c r="A56" s="373" t="s">
        <v>419</v>
      </c>
      <c r="B56" s="373"/>
      <c r="C56" s="373"/>
      <c r="D56" s="373"/>
      <c r="E56" s="373"/>
      <c r="F56" s="373"/>
      <c r="G56" s="373"/>
      <c r="H56" s="373"/>
    </row>
    <row r="57" spans="1:8">
      <c r="A57" s="373" t="s">
        <v>420</v>
      </c>
      <c r="B57" s="373"/>
      <c r="C57" s="373"/>
      <c r="D57" s="373"/>
      <c r="E57" s="373"/>
      <c r="F57" s="373"/>
      <c r="G57" s="373"/>
      <c r="H57" s="373"/>
    </row>
    <row r="58" spans="1:8">
      <c r="A58" s="373" t="s">
        <v>421</v>
      </c>
      <c r="B58" s="373"/>
      <c r="C58" s="373"/>
      <c r="D58" s="373"/>
      <c r="E58" s="373"/>
      <c r="F58" s="373"/>
      <c r="G58" s="373"/>
      <c r="H58" s="373"/>
    </row>
    <row r="59" spans="1:8">
      <c r="A59" s="373"/>
      <c r="B59" s="373"/>
      <c r="C59" s="373"/>
      <c r="D59" s="373"/>
      <c r="E59" s="373"/>
      <c r="F59" s="373"/>
      <c r="G59" s="373"/>
      <c r="H59" s="373"/>
    </row>
    <row r="60" spans="1:8">
      <c r="A60" s="373" t="s">
        <v>422</v>
      </c>
      <c r="B60" s="373"/>
      <c r="C60" s="373"/>
      <c r="D60" s="373"/>
      <c r="E60" s="373"/>
      <c r="F60" s="373"/>
      <c r="G60" s="373"/>
      <c r="H60" s="373"/>
    </row>
    <row r="61" spans="1:8">
      <c r="A61" s="373" t="s">
        <v>423</v>
      </c>
      <c r="B61" s="373"/>
      <c r="C61" s="373"/>
      <c r="D61" s="373"/>
      <c r="E61" s="373"/>
      <c r="F61" s="373"/>
      <c r="G61" s="373"/>
      <c r="H61" s="373"/>
    </row>
    <row r="62" spans="1:8">
      <c r="A62" s="373" t="s">
        <v>424</v>
      </c>
      <c r="B62" s="373"/>
      <c r="C62" s="373"/>
      <c r="D62" s="373"/>
      <c r="E62" s="373"/>
      <c r="F62" s="373"/>
      <c r="G62" s="373"/>
      <c r="H62" s="373"/>
    </row>
    <row r="63" spans="1:8">
      <c r="A63" s="373" t="s">
        <v>425</v>
      </c>
      <c r="B63" s="373"/>
      <c r="C63" s="373"/>
      <c r="D63" s="373"/>
      <c r="E63" s="373"/>
      <c r="F63" s="373"/>
      <c r="G63" s="373"/>
      <c r="H63" s="373"/>
    </row>
    <row r="64" spans="1:8">
      <c r="A64" s="373" t="s">
        <v>426</v>
      </c>
      <c r="B64" s="373"/>
      <c r="C64" s="373"/>
      <c r="D64" s="373"/>
      <c r="E64" s="373"/>
      <c r="F64" s="373"/>
      <c r="G64" s="373"/>
      <c r="H64" s="373"/>
    </row>
    <row r="65" spans="1:8">
      <c r="A65" s="373" t="s">
        <v>427</v>
      </c>
      <c r="B65" s="373"/>
      <c r="C65" s="373"/>
      <c r="D65" s="373"/>
      <c r="E65" s="373"/>
      <c r="F65" s="373"/>
      <c r="G65" s="373"/>
      <c r="H65" s="373"/>
    </row>
    <row r="66" spans="1:8">
      <c r="A66" s="373"/>
      <c r="B66" s="373"/>
      <c r="C66" s="373"/>
      <c r="D66" s="373"/>
      <c r="E66" s="373"/>
      <c r="F66" s="373"/>
      <c r="G66" s="373"/>
      <c r="H66" s="373"/>
    </row>
    <row r="67" spans="1:8">
      <c r="A67" s="373" t="s">
        <v>428</v>
      </c>
      <c r="B67" s="373"/>
      <c r="C67" s="373"/>
      <c r="D67" s="373"/>
      <c r="E67" s="373"/>
      <c r="F67" s="373"/>
      <c r="G67" s="373"/>
      <c r="H67" s="373"/>
    </row>
    <row r="68" spans="1:8">
      <c r="A68" s="373" t="s">
        <v>429</v>
      </c>
      <c r="B68" s="373"/>
      <c r="C68" s="373"/>
      <c r="D68" s="373"/>
      <c r="E68" s="373"/>
      <c r="F68" s="373"/>
      <c r="G68" s="373"/>
      <c r="H68" s="373"/>
    </row>
    <row r="69" spans="1:8">
      <c r="A69" s="373" t="s">
        <v>430</v>
      </c>
      <c r="B69" s="373"/>
      <c r="C69" s="373"/>
      <c r="D69" s="373"/>
      <c r="E69" s="373"/>
      <c r="F69" s="373"/>
      <c r="G69" s="373"/>
      <c r="H69" s="373"/>
    </row>
    <row r="70" spans="1:8">
      <c r="A70" s="373" t="s">
        <v>431</v>
      </c>
      <c r="B70" s="373"/>
      <c r="C70" s="373"/>
      <c r="D70" s="373"/>
      <c r="E70" s="373"/>
      <c r="F70" s="373"/>
      <c r="G70" s="373"/>
      <c r="H70" s="373"/>
    </row>
    <row r="71" spans="1:8">
      <c r="A71" s="373" t="s">
        <v>432</v>
      </c>
      <c r="B71" s="373"/>
      <c r="C71" s="373"/>
      <c r="D71" s="373"/>
      <c r="E71" s="373"/>
      <c r="F71" s="373"/>
      <c r="G71" s="373"/>
      <c r="H71" s="373"/>
    </row>
    <row r="72" spans="1:8">
      <c r="A72" s="373" t="s">
        <v>433</v>
      </c>
      <c r="B72" s="373"/>
      <c r="C72" s="373"/>
      <c r="D72" s="373"/>
      <c r="E72" s="373"/>
      <c r="F72" s="373"/>
      <c r="G72" s="373"/>
      <c r="H72" s="373"/>
    </row>
    <row r="73" spans="1:8">
      <c r="A73" s="373" t="s">
        <v>434</v>
      </c>
      <c r="B73" s="373"/>
      <c r="C73" s="373"/>
      <c r="D73" s="373"/>
      <c r="E73" s="373"/>
      <c r="F73" s="373"/>
      <c r="G73" s="373"/>
      <c r="H73" s="373"/>
    </row>
    <row r="74" spans="1:8">
      <c r="A74" s="373"/>
      <c r="B74" s="373"/>
      <c r="C74" s="373"/>
      <c r="D74" s="373"/>
      <c r="E74" s="373"/>
      <c r="F74" s="373"/>
      <c r="G74" s="373"/>
      <c r="H74" s="373"/>
    </row>
    <row r="75" spans="1:8">
      <c r="A75" s="373" t="s">
        <v>435</v>
      </c>
      <c r="B75" s="373"/>
      <c r="C75" s="373"/>
      <c r="D75" s="373"/>
      <c r="E75" s="373"/>
      <c r="F75" s="373"/>
      <c r="G75" s="373"/>
      <c r="H75" s="373"/>
    </row>
    <row r="76" spans="1:8">
      <c r="A76" s="373" t="s">
        <v>436</v>
      </c>
      <c r="B76" s="373"/>
      <c r="C76" s="373"/>
      <c r="D76" s="373"/>
      <c r="E76" s="373"/>
      <c r="F76" s="373"/>
      <c r="G76" s="373"/>
      <c r="H76" s="373"/>
    </row>
    <row r="77" spans="1:8">
      <c r="A77" s="373" t="s">
        <v>437</v>
      </c>
      <c r="B77" s="373"/>
      <c r="C77" s="373"/>
      <c r="D77" s="373"/>
      <c r="E77" s="373"/>
      <c r="F77" s="373"/>
      <c r="G77" s="373"/>
      <c r="H77" s="373"/>
    </row>
    <row r="78" spans="1:8">
      <c r="A78" s="373"/>
      <c r="B78" s="373"/>
      <c r="C78" s="373"/>
      <c r="D78" s="373"/>
      <c r="E78" s="373"/>
      <c r="F78" s="373"/>
      <c r="G78" s="373"/>
      <c r="H78" s="373"/>
    </row>
    <row r="79" spans="1:8">
      <c r="A79" s="373" t="s">
        <v>382</v>
      </c>
    </row>
    <row r="80" spans="1:8">
      <c r="A80" s="374"/>
    </row>
    <row r="81" spans="1:1">
      <c r="A81" s="373"/>
    </row>
    <row r="82" spans="1:1">
      <c r="A82" s="373"/>
    </row>
    <row r="83" spans="1:1">
      <c r="A83" s="373"/>
    </row>
    <row r="84" spans="1:1">
      <c r="A84" s="373"/>
    </row>
    <row r="85" spans="1:1">
      <c r="A85" s="373"/>
    </row>
    <row r="86" spans="1:1">
      <c r="A86" s="373"/>
    </row>
    <row r="87" spans="1:1">
      <c r="A87" s="373"/>
    </row>
    <row r="88" spans="1:1">
      <c r="A88" s="373"/>
    </row>
    <row r="89" spans="1:1">
      <c r="A89" s="373"/>
    </row>
    <row r="90" spans="1:1">
      <c r="A90" s="373"/>
    </row>
    <row r="91" spans="1:1">
      <c r="A91" s="373"/>
    </row>
    <row r="92" spans="1:1">
      <c r="A92" s="373"/>
    </row>
    <row r="93" spans="1:1">
      <c r="A93" s="373"/>
    </row>
    <row r="94" spans="1:1">
      <c r="A94" s="373"/>
    </row>
    <row r="95" spans="1:1">
      <c r="A95" s="373"/>
    </row>
    <row r="96" spans="1:1">
      <c r="A96" s="373"/>
    </row>
    <row r="97" spans="1:1">
      <c r="A97" s="373"/>
    </row>
    <row r="98" spans="1:1">
      <c r="A98" s="373"/>
    </row>
    <row r="99" spans="1:1">
      <c r="A99" s="373"/>
    </row>
    <row r="100" spans="1:1">
      <c r="A100" s="373"/>
    </row>
    <row r="101" spans="1:1">
      <c r="A101" s="373"/>
    </row>
    <row r="103" spans="1:1">
      <c r="A103" s="373"/>
    </row>
    <row r="104" spans="1:1">
      <c r="A104" s="373"/>
    </row>
    <row r="105" spans="1:1">
      <c r="A105" s="373"/>
    </row>
    <row r="107" spans="1:1">
      <c r="A107" s="374"/>
    </row>
    <row r="108" spans="1:1">
      <c r="A108" s="374"/>
    </row>
    <row r="109" spans="1:1">
      <c r="A109" s="374"/>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2" t="s">
        <v>438</v>
      </c>
      <c r="B3" s="372"/>
      <c r="C3" s="372"/>
      <c r="D3" s="372"/>
      <c r="E3" s="372"/>
      <c r="F3" s="372"/>
      <c r="G3" s="372"/>
      <c r="H3" s="372"/>
      <c r="I3" s="372"/>
      <c r="J3" s="372"/>
      <c r="K3" s="372"/>
      <c r="L3" s="372"/>
    </row>
    <row r="4" spans="1:12">
      <c r="A4" s="372"/>
      <c r="B4" s="372"/>
      <c r="C4" s="372"/>
      <c r="D4" s="372"/>
      <c r="E4" s="372"/>
      <c r="F4" s="372"/>
      <c r="G4" s="372"/>
      <c r="H4" s="372"/>
      <c r="I4" s="372"/>
      <c r="J4" s="372"/>
      <c r="K4" s="372"/>
      <c r="L4" s="372"/>
    </row>
    <row r="5" spans="1:12">
      <c r="A5" s="373" t="s">
        <v>335</v>
      </c>
      <c r="I5" s="372"/>
      <c r="J5" s="372"/>
      <c r="K5" s="372"/>
      <c r="L5" s="372"/>
    </row>
    <row r="6" spans="1:12">
      <c r="A6" s="373" t="str">
        <f>CONCATENATE("estimated ",inputPrYr!D6-1," 'total expenditures' exceed your ",inputPrYr!D6-1,"")</f>
        <v>estimated 2013 'total expenditures' exceed your 2013</v>
      </c>
      <c r="I6" s="372"/>
      <c r="J6" s="372"/>
      <c r="K6" s="372"/>
      <c r="L6" s="372"/>
    </row>
    <row r="7" spans="1:12">
      <c r="A7" s="376" t="s">
        <v>439</v>
      </c>
      <c r="I7" s="372"/>
      <c r="J7" s="372"/>
      <c r="K7" s="372"/>
      <c r="L7" s="372"/>
    </row>
    <row r="8" spans="1:12">
      <c r="A8" s="373"/>
      <c r="I8" s="372"/>
      <c r="J8" s="372"/>
      <c r="K8" s="372"/>
      <c r="L8" s="372"/>
    </row>
    <row r="9" spans="1:12">
      <c r="A9" s="373" t="s">
        <v>440</v>
      </c>
      <c r="I9" s="372"/>
      <c r="J9" s="372"/>
      <c r="K9" s="372"/>
      <c r="L9" s="372"/>
    </row>
    <row r="10" spans="1:12">
      <c r="A10" s="373" t="s">
        <v>441</v>
      </c>
      <c r="I10" s="372"/>
      <c r="J10" s="372"/>
      <c r="K10" s="372"/>
      <c r="L10" s="372"/>
    </row>
    <row r="11" spans="1:12">
      <c r="A11" s="373" t="s">
        <v>442</v>
      </c>
      <c r="I11" s="372"/>
      <c r="J11" s="372"/>
      <c r="K11" s="372"/>
      <c r="L11" s="372"/>
    </row>
    <row r="12" spans="1:12">
      <c r="A12" s="373" t="s">
        <v>443</v>
      </c>
      <c r="I12" s="372"/>
      <c r="J12" s="372"/>
      <c r="K12" s="372"/>
      <c r="L12" s="372"/>
    </row>
    <row r="13" spans="1:12">
      <c r="A13" s="373" t="s">
        <v>444</v>
      </c>
      <c r="I13" s="372"/>
      <c r="J13" s="372"/>
      <c r="K13" s="372"/>
      <c r="L13" s="372"/>
    </row>
    <row r="14" spans="1:12">
      <c r="A14" s="372"/>
      <c r="B14" s="372"/>
      <c r="C14" s="372"/>
      <c r="D14" s="372"/>
      <c r="E14" s="372"/>
      <c r="F14" s="372"/>
      <c r="G14" s="372"/>
      <c r="H14" s="372"/>
      <c r="I14" s="372"/>
      <c r="J14" s="372"/>
      <c r="K14" s="372"/>
      <c r="L14" s="372"/>
    </row>
    <row r="15" spans="1:12">
      <c r="A15" s="374" t="s">
        <v>445</v>
      </c>
    </row>
    <row r="16" spans="1:12">
      <c r="A16" s="374" t="s">
        <v>446</v>
      </c>
    </row>
    <row r="17" spans="1:7">
      <c r="A17" s="374"/>
    </row>
    <row r="18" spans="1:7">
      <c r="A18" s="373" t="s">
        <v>447</v>
      </c>
      <c r="B18" s="373"/>
      <c r="C18" s="373"/>
      <c r="D18" s="373"/>
      <c r="E18" s="373"/>
      <c r="F18" s="373"/>
      <c r="G18" s="373"/>
    </row>
    <row r="19" spans="1:7">
      <c r="A19" s="373" t="str">
        <f>CONCATENATE("your ",inputPrYr!D6-1," numbers to see what steps might be necessary to")</f>
        <v>your 2013 numbers to see what steps might be necessary to</v>
      </c>
      <c r="B19" s="373"/>
      <c r="C19" s="373"/>
      <c r="D19" s="373"/>
      <c r="E19" s="373"/>
      <c r="F19" s="373"/>
      <c r="G19" s="373"/>
    </row>
    <row r="20" spans="1:7">
      <c r="A20" s="373" t="s">
        <v>448</v>
      </c>
      <c r="B20" s="373"/>
      <c r="C20" s="373"/>
      <c r="D20" s="373"/>
      <c r="E20" s="373"/>
      <c r="F20" s="373"/>
      <c r="G20" s="373"/>
    </row>
    <row r="21" spans="1:7">
      <c r="A21" s="373" t="s">
        <v>449</v>
      </c>
      <c r="B21" s="373"/>
      <c r="C21" s="373"/>
      <c r="D21" s="373"/>
      <c r="E21" s="373"/>
      <c r="F21" s="373"/>
      <c r="G21" s="373"/>
    </row>
    <row r="22" spans="1:7">
      <c r="A22" s="373"/>
    </row>
    <row r="23" spans="1:7">
      <c r="A23" s="374" t="s">
        <v>450</v>
      </c>
    </row>
    <row r="24" spans="1:7">
      <c r="A24" s="374"/>
    </row>
    <row r="25" spans="1:7">
      <c r="A25" s="373" t="s">
        <v>451</v>
      </c>
    </row>
    <row r="26" spans="1:7">
      <c r="A26" s="373" t="s">
        <v>452</v>
      </c>
      <c r="B26" s="373"/>
      <c r="C26" s="373"/>
      <c r="D26" s="373"/>
      <c r="E26" s="373"/>
      <c r="F26" s="373"/>
    </row>
    <row r="27" spans="1:7">
      <c r="A27" s="373" t="s">
        <v>453</v>
      </c>
      <c r="B27" s="373"/>
      <c r="C27" s="373"/>
      <c r="D27" s="373"/>
      <c r="E27" s="373"/>
      <c r="F27" s="373"/>
    </row>
    <row r="28" spans="1:7">
      <c r="A28" s="373" t="s">
        <v>454</v>
      </c>
      <c r="B28" s="373"/>
      <c r="C28" s="373"/>
      <c r="D28" s="373"/>
      <c r="E28" s="373"/>
      <c r="F28" s="373"/>
    </row>
    <row r="29" spans="1:7">
      <c r="A29" s="373"/>
      <c r="B29" s="373"/>
      <c r="C29" s="373"/>
      <c r="D29" s="373"/>
      <c r="E29" s="373"/>
      <c r="F29" s="373"/>
    </row>
    <row r="30" spans="1:7">
      <c r="A30" s="374" t="s">
        <v>455</v>
      </c>
      <c r="B30" s="374"/>
      <c r="C30" s="374"/>
      <c r="D30" s="374"/>
      <c r="E30" s="374"/>
      <c r="F30" s="374"/>
      <c r="G30" s="374"/>
    </row>
    <row r="31" spans="1:7">
      <c r="A31" s="374" t="s">
        <v>456</v>
      </c>
      <c r="B31" s="374"/>
      <c r="C31" s="374"/>
      <c r="D31" s="374"/>
      <c r="E31" s="374"/>
      <c r="F31" s="374"/>
      <c r="G31" s="374"/>
    </row>
    <row r="32" spans="1:7">
      <c r="A32" s="373"/>
      <c r="B32" s="373"/>
      <c r="C32" s="373"/>
      <c r="D32" s="373"/>
      <c r="E32" s="373"/>
      <c r="F32" s="373"/>
    </row>
    <row r="33" spans="1:6">
      <c r="A33" s="365" t="str">
        <f>CONCATENATE("Well, let's look to see if any of your ",inputPrYr!D6-1," expenditures can")</f>
        <v>Well, let's look to see if any of your 2013 expenditures can</v>
      </c>
      <c r="B33" s="373"/>
      <c r="C33" s="373"/>
      <c r="D33" s="373"/>
      <c r="E33" s="373"/>
      <c r="F33" s="373"/>
    </row>
    <row r="34" spans="1:6">
      <c r="A34" s="365" t="s">
        <v>457</v>
      </c>
      <c r="B34" s="373"/>
      <c r="C34" s="373"/>
      <c r="D34" s="373"/>
      <c r="E34" s="373"/>
      <c r="F34" s="373"/>
    </row>
    <row r="35" spans="1:6">
      <c r="A35" s="365" t="s">
        <v>349</v>
      </c>
      <c r="B35" s="373"/>
      <c r="C35" s="373"/>
      <c r="D35" s="373"/>
      <c r="E35" s="373"/>
      <c r="F35" s="373"/>
    </row>
    <row r="36" spans="1:6">
      <c r="A36" s="365" t="s">
        <v>350</v>
      </c>
      <c r="B36" s="373"/>
      <c r="C36" s="373"/>
      <c r="D36" s="373"/>
      <c r="E36" s="373"/>
      <c r="F36" s="373"/>
    </row>
    <row r="37" spans="1:6">
      <c r="A37" s="365"/>
      <c r="B37" s="373"/>
      <c r="C37" s="373"/>
      <c r="D37" s="373"/>
      <c r="E37" s="373"/>
      <c r="F37" s="373"/>
    </row>
    <row r="38" spans="1:6">
      <c r="A38" s="365" t="str">
        <f>CONCATENATE("Additionally, do your ",inputPrYr!D6-1," receipts contain a reimbursement")</f>
        <v>Additionally, do your 2013 receipts contain a reimbursement</v>
      </c>
      <c r="B38" s="373"/>
      <c r="C38" s="373"/>
      <c r="D38" s="373"/>
      <c r="E38" s="373"/>
      <c r="F38" s="373"/>
    </row>
    <row r="39" spans="1:6">
      <c r="A39" s="365" t="s">
        <v>351</v>
      </c>
      <c r="B39" s="373"/>
      <c r="C39" s="373"/>
      <c r="D39" s="373"/>
      <c r="E39" s="373"/>
      <c r="F39" s="373"/>
    </row>
    <row r="40" spans="1:6">
      <c r="A40" s="365" t="s">
        <v>352</v>
      </c>
      <c r="B40" s="373"/>
      <c r="C40" s="373"/>
      <c r="D40" s="373"/>
      <c r="E40" s="373"/>
      <c r="F40" s="373"/>
    </row>
    <row r="41" spans="1:6">
      <c r="A41" s="365"/>
      <c r="B41" s="373"/>
      <c r="C41" s="373"/>
      <c r="D41" s="373"/>
      <c r="E41" s="373"/>
      <c r="F41" s="373"/>
    </row>
    <row r="42" spans="1:6">
      <c r="A42" s="365" t="s">
        <v>458</v>
      </c>
      <c r="B42" s="373"/>
      <c r="C42" s="373"/>
      <c r="D42" s="373"/>
      <c r="E42" s="373"/>
      <c r="F42" s="373"/>
    </row>
    <row r="43" spans="1:6">
      <c r="A43" s="365" t="s">
        <v>459</v>
      </c>
      <c r="B43" s="373"/>
      <c r="C43" s="373"/>
      <c r="D43" s="373"/>
      <c r="E43" s="373"/>
      <c r="F43" s="373"/>
    </row>
    <row r="44" spans="1:6">
      <c r="A44" s="365" t="s">
        <v>460</v>
      </c>
      <c r="B44" s="373"/>
      <c r="C44" s="373"/>
      <c r="D44" s="373"/>
      <c r="E44" s="373"/>
      <c r="F44" s="373"/>
    </row>
    <row r="45" spans="1:6">
      <c r="A45" s="365" t="s">
        <v>461</v>
      </c>
      <c r="B45" s="373"/>
      <c r="C45" s="373"/>
      <c r="D45" s="373"/>
      <c r="E45" s="373"/>
      <c r="F45" s="373"/>
    </row>
    <row r="46" spans="1:6">
      <c r="A46" s="365" t="s">
        <v>462</v>
      </c>
      <c r="B46" s="373"/>
      <c r="C46" s="373"/>
      <c r="D46" s="373"/>
      <c r="E46" s="373"/>
      <c r="F46" s="373"/>
    </row>
    <row r="47" spans="1:6">
      <c r="A47" s="365"/>
      <c r="B47" s="373"/>
      <c r="C47" s="373"/>
      <c r="D47" s="373"/>
      <c r="E47" s="373"/>
      <c r="F47" s="373"/>
    </row>
    <row r="48" spans="1:6">
      <c r="A48" s="366" t="s">
        <v>463</v>
      </c>
      <c r="B48" s="373"/>
      <c r="C48" s="373"/>
      <c r="D48" s="373"/>
      <c r="E48" s="373"/>
      <c r="F48" s="373"/>
    </row>
    <row r="49" spans="1:6">
      <c r="A49" s="366" t="s">
        <v>464</v>
      </c>
      <c r="B49" s="373"/>
      <c r="C49" s="373"/>
      <c r="D49" s="373"/>
      <c r="E49" s="373"/>
      <c r="F49" s="373"/>
    </row>
    <row r="50" spans="1:6">
      <c r="A50" s="366" t="s">
        <v>465</v>
      </c>
      <c r="B50" s="373"/>
      <c r="C50" s="373"/>
      <c r="D50" s="373"/>
      <c r="E50" s="373"/>
      <c r="F50" s="373"/>
    </row>
    <row r="51" spans="1:6">
      <c r="A51" s="366" t="s">
        <v>466</v>
      </c>
    </row>
    <row r="52" spans="1:6">
      <c r="A52" s="366" t="s">
        <v>467</v>
      </c>
    </row>
    <row r="53" spans="1:6">
      <c r="A53" s="366" t="s">
        <v>468</v>
      </c>
    </row>
    <row r="55" spans="1:6">
      <c r="A55" s="373" t="s">
        <v>469</v>
      </c>
    </row>
    <row r="56" spans="1:6">
      <c r="A56" s="373" t="s">
        <v>470</v>
      </c>
    </row>
    <row r="57" spans="1:6">
      <c r="A57" s="373" t="s">
        <v>471</v>
      </c>
    </row>
    <row r="58" spans="1:6">
      <c r="A58" s="373" t="s">
        <v>472</v>
      </c>
    </row>
    <row r="59" spans="1:6">
      <c r="A59" s="373" t="s">
        <v>473</v>
      </c>
    </row>
    <row r="60" spans="1:6">
      <c r="A60" s="373" t="s">
        <v>474</v>
      </c>
    </row>
    <row r="62" spans="1:6">
      <c r="A62" s="373" t="s">
        <v>382</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2" t="s">
        <v>475</v>
      </c>
      <c r="B3" s="372"/>
      <c r="C3" s="372"/>
      <c r="D3" s="372"/>
      <c r="E3" s="372"/>
      <c r="F3" s="372"/>
      <c r="G3" s="372"/>
    </row>
    <row r="4" spans="1:7">
      <c r="A4" s="372"/>
      <c r="B4" s="372"/>
      <c r="C4" s="372"/>
      <c r="D4" s="372"/>
      <c r="E4" s="372"/>
      <c r="F4" s="372"/>
      <c r="G4" s="372"/>
    </row>
    <row r="5" spans="1:7">
      <c r="A5" s="373" t="s">
        <v>384</v>
      </c>
    </row>
    <row r="6" spans="1:7">
      <c r="A6" s="373" t="str">
        <f>CONCATENATE(inputPrYr!D6-1," estimated expenditures show that at the end of this year")</f>
        <v>2013 estimated expenditures show that at the end of this year</v>
      </c>
    </row>
    <row r="7" spans="1:7">
      <c r="A7" s="373" t="s">
        <v>476</v>
      </c>
    </row>
    <row r="8" spans="1:7">
      <c r="A8" s="373" t="s">
        <v>477</v>
      </c>
    </row>
    <row r="10" spans="1:7">
      <c r="A10" t="s">
        <v>386</v>
      </c>
    </row>
    <row r="11" spans="1:7">
      <c r="A11" t="s">
        <v>387</v>
      </c>
    </row>
    <row r="12" spans="1:7">
      <c r="A12" t="s">
        <v>388</v>
      </c>
    </row>
    <row r="13" spans="1:7">
      <c r="A13" s="372"/>
      <c r="B13" s="372"/>
      <c r="C13" s="372"/>
      <c r="D13" s="372"/>
      <c r="E13" s="372"/>
      <c r="F13" s="372"/>
      <c r="G13" s="372"/>
    </row>
    <row r="14" spans="1:7">
      <c r="A14" s="374" t="s">
        <v>478</v>
      </c>
    </row>
    <row r="15" spans="1:7">
      <c r="A15" s="373"/>
    </row>
    <row r="16" spans="1:7">
      <c r="A16" s="373" t="s">
        <v>479</v>
      </c>
    </row>
    <row r="17" spans="1:7">
      <c r="A17" s="373" t="s">
        <v>480</v>
      </c>
    </row>
    <row r="18" spans="1:7">
      <c r="A18" s="373" t="s">
        <v>481</v>
      </c>
    </row>
    <row r="19" spans="1:7">
      <c r="A19" s="373"/>
    </row>
    <row r="20" spans="1:7">
      <c r="A20" s="373" t="s">
        <v>482</v>
      </c>
    </row>
    <row r="21" spans="1:7">
      <c r="A21" s="373" t="s">
        <v>483</v>
      </c>
    </row>
    <row r="22" spans="1:7">
      <c r="A22" s="373" t="s">
        <v>484</v>
      </c>
    </row>
    <row r="23" spans="1:7">
      <c r="A23" s="373" t="s">
        <v>485</v>
      </c>
    </row>
    <row r="24" spans="1:7">
      <c r="A24" s="373"/>
    </row>
    <row r="25" spans="1:7">
      <c r="A25" s="374" t="s">
        <v>450</v>
      </c>
    </row>
    <row r="26" spans="1:7">
      <c r="A26" s="374"/>
    </row>
    <row r="27" spans="1:7">
      <c r="A27" s="373" t="s">
        <v>451</v>
      </c>
    </row>
    <row r="28" spans="1:7">
      <c r="A28" s="373" t="s">
        <v>452</v>
      </c>
      <c r="B28" s="373"/>
      <c r="C28" s="373"/>
      <c r="D28" s="373"/>
      <c r="E28" s="373"/>
      <c r="F28" s="373"/>
    </row>
    <row r="29" spans="1:7">
      <c r="A29" s="373" t="s">
        <v>453</v>
      </c>
      <c r="B29" s="373"/>
      <c r="C29" s="373"/>
      <c r="D29" s="373"/>
      <c r="E29" s="373"/>
      <c r="F29" s="373"/>
    </row>
    <row r="30" spans="1:7">
      <c r="A30" s="373" t="s">
        <v>454</v>
      </c>
      <c r="B30" s="373"/>
      <c r="C30" s="373"/>
      <c r="D30" s="373"/>
      <c r="E30" s="373"/>
      <c r="F30" s="373"/>
    </row>
    <row r="31" spans="1:7">
      <c r="A31" s="373"/>
    </row>
    <row r="32" spans="1:7">
      <c r="A32" s="374" t="s">
        <v>455</v>
      </c>
      <c r="B32" s="374"/>
      <c r="C32" s="374"/>
      <c r="D32" s="374"/>
      <c r="E32" s="374"/>
      <c r="F32" s="374"/>
      <c r="G32" s="374"/>
    </row>
    <row r="33" spans="1:7">
      <c r="A33" s="374" t="s">
        <v>456</v>
      </c>
      <c r="B33" s="374"/>
      <c r="C33" s="374"/>
      <c r="D33" s="374"/>
      <c r="E33" s="374"/>
      <c r="F33" s="374"/>
      <c r="G33" s="374"/>
    </row>
    <row r="34" spans="1:7">
      <c r="A34" s="374"/>
      <c r="B34" s="374"/>
      <c r="C34" s="374"/>
      <c r="D34" s="374"/>
      <c r="E34" s="374"/>
      <c r="F34" s="374"/>
      <c r="G34" s="374"/>
    </row>
    <row r="35" spans="1:7">
      <c r="A35" s="373" t="s">
        <v>486</v>
      </c>
      <c r="B35" s="373"/>
      <c r="C35" s="373"/>
      <c r="D35" s="373"/>
      <c r="E35" s="373"/>
      <c r="F35" s="373"/>
      <c r="G35" s="373"/>
    </row>
    <row r="36" spans="1:7">
      <c r="A36" s="373" t="s">
        <v>487</v>
      </c>
      <c r="B36" s="373"/>
      <c r="C36" s="373"/>
      <c r="D36" s="373"/>
      <c r="E36" s="373"/>
      <c r="F36" s="373"/>
      <c r="G36" s="373"/>
    </row>
    <row r="37" spans="1:7">
      <c r="A37" s="373" t="s">
        <v>488</v>
      </c>
      <c r="B37" s="373"/>
      <c r="C37" s="373"/>
      <c r="D37" s="373"/>
      <c r="E37" s="373"/>
      <c r="F37" s="373"/>
      <c r="G37" s="373"/>
    </row>
    <row r="38" spans="1:7">
      <c r="A38" s="373" t="s">
        <v>489</v>
      </c>
      <c r="B38" s="373"/>
      <c r="C38" s="373"/>
      <c r="D38" s="373"/>
      <c r="E38" s="373"/>
      <c r="F38" s="373"/>
      <c r="G38" s="373"/>
    </row>
    <row r="39" spans="1:7">
      <c r="A39" s="373" t="s">
        <v>490</v>
      </c>
      <c r="B39" s="373"/>
      <c r="C39" s="373"/>
      <c r="D39" s="373"/>
      <c r="E39" s="373"/>
      <c r="F39" s="373"/>
      <c r="G39" s="373"/>
    </row>
    <row r="40" spans="1:7">
      <c r="A40" s="374"/>
      <c r="B40" s="374"/>
      <c r="C40" s="374"/>
      <c r="D40" s="374"/>
      <c r="E40" s="374"/>
      <c r="F40" s="374"/>
      <c r="G40" s="374"/>
    </row>
    <row r="41" spans="1:7">
      <c r="A41" s="365" t="str">
        <f>CONCATENATE("So, let's look to see if any of your ",inputPrYr!D6-1," expenditures can")</f>
        <v>So, let's look to see if any of your 2013 expenditures can</v>
      </c>
      <c r="B41" s="373"/>
      <c r="C41" s="373"/>
      <c r="D41" s="373"/>
      <c r="E41" s="373"/>
      <c r="F41" s="373"/>
    </row>
    <row r="42" spans="1:7">
      <c r="A42" s="365" t="s">
        <v>457</v>
      </c>
      <c r="B42" s="373"/>
      <c r="C42" s="373"/>
      <c r="D42" s="373"/>
      <c r="E42" s="373"/>
      <c r="F42" s="373"/>
    </row>
    <row r="43" spans="1:7">
      <c r="A43" s="365" t="s">
        <v>349</v>
      </c>
      <c r="B43" s="373"/>
      <c r="C43" s="373"/>
      <c r="D43" s="373"/>
      <c r="E43" s="373"/>
      <c r="F43" s="373"/>
    </row>
    <row r="44" spans="1:7">
      <c r="A44" s="365" t="s">
        <v>350</v>
      </c>
      <c r="B44" s="373"/>
      <c r="C44" s="373"/>
      <c r="D44" s="373"/>
      <c r="E44" s="373"/>
      <c r="F44" s="373"/>
    </row>
    <row r="45" spans="1:7">
      <c r="A45" s="373"/>
    </row>
    <row r="46" spans="1:7">
      <c r="A46" s="365" t="str">
        <f>CONCATENATE("Additionally, do your ",inputPrYr!D6-1," receipts contain a reimbursement")</f>
        <v>Additionally, do your 2013 receipts contain a reimbursement</v>
      </c>
      <c r="B46" s="373"/>
      <c r="C46" s="373"/>
      <c r="D46" s="373"/>
      <c r="E46" s="373"/>
      <c r="F46" s="373"/>
    </row>
    <row r="47" spans="1:7">
      <c r="A47" s="365" t="s">
        <v>351</v>
      </c>
      <c r="B47" s="373"/>
      <c r="C47" s="373"/>
      <c r="D47" s="373"/>
      <c r="E47" s="373"/>
      <c r="F47" s="373"/>
    </row>
    <row r="48" spans="1:7">
      <c r="A48" s="365" t="s">
        <v>352</v>
      </c>
      <c r="B48" s="373"/>
      <c r="C48" s="373"/>
      <c r="D48" s="373"/>
      <c r="E48" s="373"/>
      <c r="F48" s="373"/>
    </row>
    <row r="49" spans="1:7">
      <c r="A49" s="373"/>
      <c r="B49" s="373"/>
      <c r="C49" s="373"/>
      <c r="D49" s="373"/>
      <c r="E49" s="373"/>
      <c r="F49" s="373"/>
      <c r="G49" s="373"/>
    </row>
    <row r="50" spans="1:7">
      <c r="A50" s="373" t="s">
        <v>411</v>
      </c>
      <c r="B50" s="373"/>
      <c r="C50" s="373"/>
      <c r="D50" s="373"/>
      <c r="E50" s="373"/>
      <c r="F50" s="373"/>
      <c r="G50" s="373"/>
    </row>
    <row r="51" spans="1:7">
      <c r="A51" s="373" t="s">
        <v>412</v>
      </c>
      <c r="B51" s="373"/>
      <c r="C51" s="373"/>
      <c r="D51" s="373"/>
      <c r="E51" s="373"/>
      <c r="F51" s="373"/>
      <c r="G51" s="373"/>
    </row>
    <row r="52" spans="1:7">
      <c r="A52" s="373" t="s">
        <v>413</v>
      </c>
      <c r="B52" s="373"/>
      <c r="C52" s="373"/>
      <c r="D52" s="373"/>
      <c r="E52" s="373"/>
      <c r="F52" s="373"/>
      <c r="G52" s="373"/>
    </row>
    <row r="53" spans="1:7">
      <c r="A53" s="373" t="s">
        <v>414</v>
      </c>
      <c r="B53" s="373"/>
      <c r="C53" s="373"/>
      <c r="D53" s="373"/>
      <c r="E53" s="373"/>
      <c r="F53" s="373"/>
      <c r="G53" s="373"/>
    </row>
    <row r="54" spans="1:7">
      <c r="A54" s="373" t="s">
        <v>415</v>
      </c>
      <c r="B54" s="373"/>
      <c r="C54" s="373"/>
      <c r="D54" s="373"/>
      <c r="E54" s="373"/>
      <c r="F54" s="373"/>
      <c r="G54" s="373"/>
    </row>
    <row r="55" spans="1:7">
      <c r="A55" s="373"/>
      <c r="B55" s="373"/>
      <c r="C55" s="373"/>
      <c r="D55" s="373"/>
      <c r="E55" s="373"/>
      <c r="F55" s="373"/>
      <c r="G55" s="373"/>
    </row>
    <row r="56" spans="1:7">
      <c r="A56" s="365" t="s">
        <v>353</v>
      </c>
      <c r="B56" s="373"/>
      <c r="C56" s="373"/>
      <c r="D56" s="373"/>
      <c r="E56" s="373"/>
      <c r="F56" s="373"/>
    </row>
    <row r="57" spans="1:7">
      <c r="A57" s="365" t="s">
        <v>354</v>
      </c>
      <c r="B57" s="373"/>
      <c r="C57" s="373"/>
      <c r="D57" s="373"/>
      <c r="E57" s="373"/>
      <c r="F57" s="373"/>
    </row>
    <row r="58" spans="1:7">
      <c r="A58" s="365" t="s">
        <v>355</v>
      </c>
      <c r="B58" s="373"/>
      <c r="C58" s="373"/>
      <c r="D58" s="373"/>
      <c r="E58" s="373"/>
      <c r="F58" s="373"/>
    </row>
    <row r="59" spans="1:7">
      <c r="A59" s="365"/>
      <c r="B59" s="373"/>
      <c r="C59" s="373"/>
      <c r="D59" s="373"/>
      <c r="E59" s="373"/>
      <c r="F59" s="373"/>
    </row>
    <row r="60" spans="1:7">
      <c r="A60" s="373" t="s">
        <v>491</v>
      </c>
      <c r="B60" s="373"/>
      <c r="C60" s="373"/>
      <c r="D60" s="373"/>
      <c r="E60" s="373"/>
      <c r="F60" s="373"/>
      <c r="G60" s="373"/>
    </row>
    <row r="61" spans="1:7">
      <c r="A61" s="373" t="s">
        <v>492</v>
      </c>
      <c r="B61" s="373"/>
      <c r="C61" s="373"/>
      <c r="D61" s="373"/>
      <c r="E61" s="373"/>
      <c r="F61" s="373"/>
      <c r="G61" s="373"/>
    </row>
    <row r="62" spans="1:7">
      <c r="A62" s="373" t="s">
        <v>493</v>
      </c>
      <c r="B62" s="373"/>
      <c r="C62" s="373"/>
      <c r="D62" s="373"/>
      <c r="E62" s="373"/>
      <c r="F62" s="373"/>
      <c r="G62" s="373"/>
    </row>
    <row r="63" spans="1:7">
      <c r="A63" s="373" t="s">
        <v>494</v>
      </c>
      <c r="B63" s="373"/>
      <c r="C63" s="373"/>
      <c r="D63" s="373"/>
      <c r="E63" s="373"/>
      <c r="F63" s="373"/>
      <c r="G63" s="373"/>
    </row>
    <row r="64" spans="1:7">
      <c r="A64" s="373" t="s">
        <v>495</v>
      </c>
      <c r="B64" s="373"/>
      <c r="C64" s="373"/>
      <c r="D64" s="373"/>
      <c r="E64" s="373"/>
      <c r="F64" s="373"/>
      <c r="G64" s="373"/>
    </row>
    <row r="66" spans="1:6">
      <c r="A66" s="365" t="s">
        <v>458</v>
      </c>
      <c r="B66" s="373"/>
      <c r="C66" s="373"/>
      <c r="D66" s="373"/>
      <c r="E66" s="373"/>
      <c r="F66" s="373"/>
    </row>
    <row r="67" spans="1:6">
      <c r="A67" s="365" t="s">
        <v>459</v>
      </c>
      <c r="B67" s="373"/>
      <c r="C67" s="373"/>
      <c r="D67" s="373"/>
      <c r="E67" s="373"/>
      <c r="F67" s="373"/>
    </row>
    <row r="68" spans="1:6">
      <c r="A68" s="365" t="s">
        <v>460</v>
      </c>
      <c r="B68" s="373"/>
      <c r="C68" s="373"/>
      <c r="D68" s="373"/>
      <c r="E68" s="373"/>
      <c r="F68" s="373"/>
    </row>
    <row r="69" spans="1:6">
      <c r="A69" s="365" t="s">
        <v>461</v>
      </c>
      <c r="B69" s="373"/>
      <c r="C69" s="373"/>
      <c r="D69" s="373"/>
      <c r="E69" s="373"/>
      <c r="F69" s="373"/>
    </row>
    <row r="70" spans="1:6">
      <c r="A70" s="365" t="s">
        <v>462</v>
      </c>
      <c r="B70" s="373"/>
      <c r="C70" s="373"/>
      <c r="D70" s="373"/>
      <c r="E70" s="373"/>
      <c r="F70" s="373"/>
    </row>
    <row r="71" spans="1:6">
      <c r="A71" s="373"/>
    </row>
    <row r="72" spans="1:6">
      <c r="A72" s="373" t="s">
        <v>382</v>
      </c>
    </row>
    <row r="73" spans="1:6">
      <c r="A73" s="373"/>
    </row>
    <row r="74" spans="1:6">
      <c r="A74" s="373"/>
    </row>
    <row r="75" spans="1:6">
      <c r="A75" s="373"/>
    </row>
    <row r="78" spans="1:6">
      <c r="A78" s="374"/>
    </row>
    <row r="80" spans="1:6">
      <c r="A80" s="373"/>
    </row>
    <row r="81" spans="1:1">
      <c r="A81" s="373"/>
    </row>
    <row r="82" spans="1:1">
      <c r="A82" s="373"/>
    </row>
    <row r="83" spans="1:1">
      <c r="A83" s="373"/>
    </row>
    <row r="84" spans="1:1">
      <c r="A84" s="373"/>
    </row>
    <row r="85" spans="1:1">
      <c r="A85" s="373"/>
    </row>
    <row r="86" spans="1:1">
      <c r="A86" s="373"/>
    </row>
    <row r="87" spans="1:1">
      <c r="A87" s="373"/>
    </row>
    <row r="88" spans="1:1">
      <c r="A88" s="373"/>
    </row>
    <row r="89" spans="1:1">
      <c r="A89" s="373"/>
    </row>
    <row r="90" spans="1:1">
      <c r="A90" s="373"/>
    </row>
    <row r="92" spans="1:1">
      <c r="A92" s="373"/>
    </row>
    <row r="93" spans="1:1">
      <c r="A93" s="373"/>
    </row>
    <row r="94" spans="1:1">
      <c r="A94" s="373"/>
    </row>
    <row r="95" spans="1:1">
      <c r="A95" s="373"/>
    </row>
    <row r="96" spans="1:1">
      <c r="A96" s="373"/>
    </row>
    <row r="97" spans="1:1">
      <c r="A97" s="373"/>
    </row>
    <row r="98" spans="1:1">
      <c r="A98" s="373"/>
    </row>
    <row r="99" spans="1:1">
      <c r="A99" s="373"/>
    </row>
    <row r="100" spans="1:1">
      <c r="A100" s="373"/>
    </row>
    <row r="101" spans="1:1">
      <c r="A101" s="373"/>
    </row>
    <row r="102" spans="1:1">
      <c r="A102" s="373"/>
    </row>
    <row r="103" spans="1:1">
      <c r="A103" s="373"/>
    </row>
    <row r="104" spans="1:1">
      <c r="A104" s="373"/>
    </row>
    <row r="105" spans="1:1">
      <c r="A105" s="373"/>
    </row>
    <row r="106" spans="1:1">
      <c r="A106" s="373"/>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2" t="s">
        <v>496</v>
      </c>
      <c r="B3" s="372"/>
      <c r="C3" s="372"/>
      <c r="D3" s="372"/>
      <c r="E3" s="372"/>
      <c r="F3" s="372"/>
      <c r="G3" s="372"/>
    </row>
    <row r="4" spans="1:7">
      <c r="A4" s="372" t="s">
        <v>497</v>
      </c>
      <c r="B4" s="372"/>
      <c r="C4" s="372"/>
      <c r="D4" s="372"/>
      <c r="E4" s="372"/>
      <c r="F4" s="372"/>
      <c r="G4" s="372"/>
    </row>
    <row r="5" spans="1:7">
      <c r="A5" s="372"/>
      <c r="B5" s="372"/>
      <c r="C5" s="372"/>
      <c r="D5" s="372"/>
      <c r="E5" s="372"/>
      <c r="F5" s="372"/>
      <c r="G5" s="372"/>
    </row>
    <row r="6" spans="1:7">
      <c r="A6" s="372"/>
      <c r="B6" s="372"/>
      <c r="C6" s="372"/>
      <c r="D6" s="372"/>
      <c r="E6" s="372"/>
      <c r="F6" s="372"/>
      <c r="G6" s="372"/>
    </row>
    <row r="7" spans="1:7">
      <c r="A7" s="373" t="s">
        <v>335</v>
      </c>
    </row>
    <row r="8" spans="1:7">
      <c r="A8" s="373" t="str">
        <f>CONCATENATE("estimated ",inputPrYr!D6," 'total expenditures' exceed your ",inputPrYr!D6,"")</f>
        <v>estimated 2014 'total expenditures' exceed your 2014</v>
      </c>
    </row>
    <row r="9" spans="1:7">
      <c r="A9" s="376" t="s">
        <v>498</v>
      </c>
    </row>
    <row r="10" spans="1:7">
      <c r="A10" s="373"/>
    </row>
    <row r="11" spans="1:7">
      <c r="A11" s="373" t="s">
        <v>499</v>
      </c>
    </row>
    <row r="12" spans="1:7">
      <c r="A12" s="373" t="s">
        <v>500</v>
      </c>
    </row>
    <row r="13" spans="1:7">
      <c r="A13" s="373" t="s">
        <v>501</v>
      </c>
    </row>
    <row r="14" spans="1:7">
      <c r="A14" s="373"/>
    </row>
    <row r="15" spans="1:7">
      <c r="A15" s="374" t="s">
        <v>502</v>
      </c>
    </row>
    <row r="16" spans="1:7">
      <c r="A16" s="372"/>
      <c r="B16" s="372"/>
      <c r="C16" s="372"/>
      <c r="D16" s="372"/>
      <c r="E16" s="372"/>
      <c r="F16" s="372"/>
      <c r="G16" s="372"/>
    </row>
    <row r="17" spans="1:8">
      <c r="A17" s="377" t="s">
        <v>503</v>
      </c>
      <c r="B17" s="369"/>
      <c r="C17" s="369"/>
      <c r="D17" s="369"/>
      <c r="E17" s="369"/>
      <c r="F17" s="369"/>
      <c r="G17" s="369"/>
      <c r="H17" s="369"/>
    </row>
    <row r="18" spans="1:8">
      <c r="A18" s="373" t="s">
        <v>504</v>
      </c>
      <c r="B18" s="378"/>
      <c r="C18" s="378"/>
      <c r="D18" s="378"/>
      <c r="E18" s="378"/>
      <c r="F18" s="378"/>
      <c r="G18" s="378"/>
    </row>
    <row r="19" spans="1:8">
      <c r="A19" s="373" t="s">
        <v>505</v>
      </c>
    </row>
    <row r="20" spans="1:8">
      <c r="A20" s="373" t="s">
        <v>506</v>
      </c>
    </row>
    <row r="22" spans="1:8">
      <c r="A22" s="374" t="s">
        <v>507</v>
      </c>
    </row>
    <row r="24" spans="1:8">
      <c r="A24" s="373" t="s">
        <v>508</v>
      </c>
    </row>
    <row r="25" spans="1:8">
      <c r="A25" s="373" t="s">
        <v>509</v>
      </c>
    </row>
    <row r="26" spans="1:8">
      <c r="A26" s="373" t="s">
        <v>510</v>
      </c>
    </row>
    <row r="28" spans="1:8">
      <c r="A28" s="374" t="s">
        <v>511</v>
      </c>
    </row>
    <row r="30" spans="1:8">
      <c r="A30" t="s">
        <v>512</v>
      </c>
    </row>
    <row r="31" spans="1:8">
      <c r="A31" t="s">
        <v>513</v>
      </c>
    </row>
    <row r="32" spans="1:8">
      <c r="A32" t="s">
        <v>514</v>
      </c>
    </row>
    <row r="33" spans="1:1">
      <c r="A33" s="373" t="s">
        <v>515</v>
      </c>
    </row>
    <row r="35" spans="1:1">
      <c r="A35" t="s">
        <v>516</v>
      </c>
    </row>
    <row r="36" spans="1:1">
      <c r="A36" t="s">
        <v>517</v>
      </c>
    </row>
    <row r="37" spans="1:1">
      <c r="A37" t="s">
        <v>518</v>
      </c>
    </row>
    <row r="38" spans="1:1">
      <c r="A38" t="s">
        <v>519</v>
      </c>
    </row>
    <row r="40" spans="1:1">
      <c r="A40" t="s">
        <v>520</v>
      </c>
    </row>
    <row r="41" spans="1:1">
      <c r="A41" t="s">
        <v>521</v>
      </c>
    </row>
    <row r="42" spans="1:1">
      <c r="A42" t="s">
        <v>522</v>
      </c>
    </row>
    <row r="43" spans="1:1">
      <c r="A43" t="s">
        <v>523</v>
      </c>
    </row>
    <row r="44" spans="1:1">
      <c r="A44" t="s">
        <v>524</v>
      </c>
    </row>
    <row r="45" spans="1:1">
      <c r="A45" t="s">
        <v>525</v>
      </c>
    </row>
    <row r="47" spans="1:1">
      <c r="A47" t="s">
        <v>526</v>
      </c>
    </row>
    <row r="48" spans="1:1">
      <c r="A48" t="s">
        <v>527</v>
      </c>
    </row>
    <row r="49" spans="1:1">
      <c r="A49" s="373" t="s">
        <v>528</v>
      </c>
    </row>
    <row r="50" spans="1:1">
      <c r="A50" s="373" t="s">
        <v>529</v>
      </c>
    </row>
    <row r="52" spans="1:1">
      <c r="A52" t="s">
        <v>382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7" customWidth="1"/>
    <col min="2" max="2" width="11.21875" style="428" customWidth="1"/>
    <col min="3" max="3" width="7.44140625" style="428" customWidth="1"/>
    <col min="4" max="4" width="8.88671875" style="428"/>
    <col min="5" max="5" width="1.5546875" style="428" customWidth="1"/>
    <col min="6" max="6" width="14.33203125" style="428" customWidth="1"/>
    <col min="7" max="7" width="2.5546875" style="428" customWidth="1"/>
    <col min="8" max="8" width="9.77734375" style="428" customWidth="1"/>
    <col min="9" max="9" width="2" style="428" customWidth="1"/>
    <col min="10" max="10" width="8.5546875" style="428" customWidth="1"/>
    <col min="11" max="11" width="11.6640625" style="428" customWidth="1"/>
    <col min="12" max="12" width="7.5546875" style="427" customWidth="1"/>
    <col min="13" max="14" width="8.88671875" style="427"/>
    <col min="15" max="15" width="9.88671875" style="427" bestFit="1" customWidth="1"/>
    <col min="16" max="16384" width="8.88671875" style="427"/>
  </cols>
  <sheetData>
    <row r="1" spans="1:12">
      <c r="A1" s="426"/>
      <c r="B1" s="426"/>
      <c r="C1" s="426"/>
      <c r="D1" s="426"/>
      <c r="E1" s="426"/>
      <c r="F1" s="426"/>
      <c r="G1" s="426"/>
      <c r="H1" s="426"/>
      <c r="I1" s="426"/>
      <c r="J1" s="426"/>
      <c r="K1" s="426"/>
      <c r="L1" s="426"/>
    </row>
    <row r="2" spans="1:12">
      <c r="A2" s="426"/>
      <c r="B2" s="426"/>
      <c r="C2" s="426"/>
      <c r="D2" s="426"/>
      <c r="E2" s="426"/>
      <c r="F2" s="426"/>
      <c r="G2" s="426"/>
      <c r="H2" s="426"/>
      <c r="I2" s="426"/>
      <c r="J2" s="426"/>
      <c r="K2" s="426"/>
      <c r="L2" s="426"/>
    </row>
    <row r="3" spans="1:12">
      <c r="A3" s="426"/>
      <c r="B3" s="426"/>
      <c r="C3" s="426"/>
      <c r="D3" s="426"/>
      <c r="E3" s="426"/>
      <c r="F3" s="426"/>
      <c r="G3" s="426"/>
      <c r="H3" s="426"/>
      <c r="I3" s="426"/>
      <c r="J3" s="426"/>
      <c r="K3" s="426"/>
      <c r="L3" s="426"/>
    </row>
    <row r="4" spans="1:12">
      <c r="A4" s="426"/>
      <c r="L4" s="426"/>
    </row>
    <row r="5" spans="1:12" ht="15" customHeight="1">
      <c r="A5" s="426"/>
      <c r="L5" s="426"/>
    </row>
    <row r="6" spans="1:12" ht="33" customHeight="1">
      <c r="A6" s="426"/>
      <c r="B6" s="661" t="s">
        <v>574</v>
      </c>
      <c r="C6" s="662"/>
      <c r="D6" s="662"/>
      <c r="E6" s="662"/>
      <c r="F6" s="662"/>
      <c r="G6" s="662"/>
      <c r="H6" s="662"/>
      <c r="I6" s="662"/>
      <c r="J6" s="662"/>
      <c r="K6" s="662"/>
      <c r="L6" s="429"/>
    </row>
    <row r="7" spans="1:12" ht="40.5" customHeight="1">
      <c r="A7" s="426"/>
      <c r="B7" s="663" t="s">
        <v>575</v>
      </c>
      <c r="C7" s="664"/>
      <c r="D7" s="664"/>
      <c r="E7" s="664"/>
      <c r="F7" s="664"/>
      <c r="G7" s="664"/>
      <c r="H7" s="664"/>
      <c r="I7" s="664"/>
      <c r="J7" s="664"/>
      <c r="K7" s="664"/>
      <c r="L7" s="426"/>
    </row>
    <row r="8" spans="1:12">
      <c r="A8" s="426"/>
      <c r="B8" s="665" t="s">
        <v>576</v>
      </c>
      <c r="C8" s="665"/>
      <c r="D8" s="665"/>
      <c r="E8" s="665"/>
      <c r="F8" s="665"/>
      <c r="G8" s="665"/>
      <c r="H8" s="665"/>
      <c r="I8" s="665"/>
      <c r="J8" s="665"/>
      <c r="K8" s="665"/>
      <c r="L8" s="426"/>
    </row>
    <row r="9" spans="1:12">
      <c r="A9" s="426"/>
      <c r="L9" s="426"/>
    </row>
    <row r="10" spans="1:12">
      <c r="A10" s="426"/>
      <c r="B10" s="665" t="s">
        <v>577</v>
      </c>
      <c r="C10" s="665"/>
      <c r="D10" s="665"/>
      <c r="E10" s="665"/>
      <c r="F10" s="665"/>
      <c r="G10" s="665"/>
      <c r="H10" s="665"/>
      <c r="I10" s="665"/>
      <c r="J10" s="665"/>
      <c r="K10" s="665"/>
      <c r="L10" s="426"/>
    </row>
    <row r="11" spans="1:12">
      <c r="A11" s="426"/>
      <c r="B11" s="430"/>
      <c r="C11" s="430"/>
      <c r="D11" s="430"/>
      <c r="E11" s="430"/>
      <c r="F11" s="430"/>
      <c r="G11" s="430"/>
      <c r="H11" s="430"/>
      <c r="I11" s="430"/>
      <c r="J11" s="430"/>
      <c r="K11" s="430"/>
      <c r="L11" s="426"/>
    </row>
    <row r="12" spans="1:12" ht="32.25" customHeight="1">
      <c r="A12" s="426"/>
      <c r="B12" s="666" t="s">
        <v>578</v>
      </c>
      <c r="C12" s="666"/>
      <c r="D12" s="666"/>
      <c r="E12" s="666"/>
      <c r="F12" s="666"/>
      <c r="G12" s="666"/>
      <c r="H12" s="666"/>
      <c r="I12" s="666"/>
      <c r="J12" s="666"/>
      <c r="K12" s="666"/>
      <c r="L12" s="426"/>
    </row>
    <row r="13" spans="1:12">
      <c r="A13" s="426"/>
      <c r="L13" s="426"/>
    </row>
    <row r="14" spans="1:12">
      <c r="A14" s="426"/>
      <c r="B14" s="431" t="s">
        <v>579</v>
      </c>
      <c r="L14" s="426"/>
    </row>
    <row r="15" spans="1:12">
      <c r="A15" s="426"/>
      <c r="L15" s="426"/>
    </row>
    <row r="16" spans="1:12">
      <c r="A16" s="426"/>
      <c r="B16" s="428" t="s">
        <v>580</v>
      </c>
      <c r="L16" s="426"/>
    </row>
    <row r="17" spans="1:12">
      <c r="A17" s="426"/>
      <c r="B17" s="428" t="s">
        <v>581</v>
      </c>
      <c r="L17" s="426"/>
    </row>
    <row r="18" spans="1:12">
      <c r="A18" s="426"/>
      <c r="L18" s="426"/>
    </row>
    <row r="19" spans="1:12">
      <c r="A19" s="426"/>
      <c r="B19" s="431" t="s">
        <v>582</v>
      </c>
      <c r="L19" s="426"/>
    </row>
    <row r="20" spans="1:12">
      <c r="A20" s="426"/>
      <c r="B20" s="431"/>
      <c r="L20" s="426"/>
    </row>
    <row r="21" spans="1:12">
      <c r="A21" s="426"/>
      <c r="B21" s="428" t="s">
        <v>583</v>
      </c>
      <c r="L21" s="426"/>
    </row>
    <row r="22" spans="1:12">
      <c r="A22" s="426"/>
      <c r="L22" s="426"/>
    </row>
    <row r="23" spans="1:12">
      <c r="A23" s="426"/>
      <c r="B23" s="428" t="s">
        <v>584</v>
      </c>
      <c r="E23" s="428" t="s">
        <v>585</v>
      </c>
      <c r="F23" s="660">
        <v>133685008</v>
      </c>
      <c r="G23" s="660"/>
      <c r="L23" s="426"/>
    </row>
    <row r="24" spans="1:12">
      <c r="A24" s="426"/>
      <c r="L24" s="426"/>
    </row>
    <row r="25" spans="1:12">
      <c r="A25" s="426"/>
      <c r="C25" s="667">
        <f>F23</f>
        <v>133685008</v>
      </c>
      <c r="D25" s="667"/>
      <c r="E25" s="428" t="s">
        <v>586</v>
      </c>
      <c r="F25" s="432">
        <v>1000</v>
      </c>
      <c r="G25" s="432" t="s">
        <v>585</v>
      </c>
      <c r="H25" s="433">
        <f>F23/F25</f>
        <v>133685.008</v>
      </c>
      <c r="L25" s="426"/>
    </row>
    <row r="26" spans="1:12" ht="15" thickBot="1">
      <c r="A26" s="426"/>
      <c r="L26" s="426"/>
    </row>
    <row r="27" spans="1:12">
      <c r="A27" s="426"/>
      <c r="B27" s="434" t="s">
        <v>579</v>
      </c>
      <c r="C27" s="435"/>
      <c r="D27" s="435"/>
      <c r="E27" s="435"/>
      <c r="F27" s="435"/>
      <c r="G27" s="435"/>
      <c r="H27" s="435"/>
      <c r="I27" s="435"/>
      <c r="J27" s="435"/>
      <c r="K27" s="436"/>
      <c r="L27" s="426"/>
    </row>
    <row r="28" spans="1:12">
      <c r="A28" s="426"/>
      <c r="B28" s="437">
        <f>F23</f>
        <v>133685008</v>
      </c>
      <c r="C28" s="438" t="s">
        <v>587</v>
      </c>
      <c r="D28" s="438"/>
      <c r="E28" s="438" t="s">
        <v>586</v>
      </c>
      <c r="F28" s="439">
        <v>1000</v>
      </c>
      <c r="G28" s="439" t="s">
        <v>585</v>
      </c>
      <c r="H28" s="440">
        <f>B28/F28</f>
        <v>133685.008</v>
      </c>
      <c r="I28" s="438" t="s">
        <v>588</v>
      </c>
      <c r="J28" s="438"/>
      <c r="K28" s="441"/>
      <c r="L28" s="426"/>
    </row>
    <row r="29" spans="1:12" ht="15" thickBot="1">
      <c r="A29" s="426"/>
      <c r="B29" s="442"/>
      <c r="C29" s="443"/>
      <c r="D29" s="443"/>
      <c r="E29" s="443"/>
      <c r="F29" s="443"/>
      <c r="G29" s="443"/>
      <c r="H29" s="443"/>
      <c r="I29" s="443"/>
      <c r="J29" s="443"/>
      <c r="K29" s="444"/>
      <c r="L29" s="426"/>
    </row>
    <row r="30" spans="1:12" ht="40.5" customHeight="1">
      <c r="A30" s="426"/>
      <c r="B30" s="668" t="s">
        <v>575</v>
      </c>
      <c r="C30" s="668"/>
      <c r="D30" s="668"/>
      <c r="E30" s="668"/>
      <c r="F30" s="668"/>
      <c r="G30" s="668"/>
      <c r="H30" s="668"/>
      <c r="I30" s="668"/>
      <c r="J30" s="668"/>
      <c r="K30" s="668"/>
      <c r="L30" s="426"/>
    </row>
    <row r="31" spans="1:12">
      <c r="A31" s="426"/>
      <c r="B31" s="665" t="s">
        <v>589</v>
      </c>
      <c r="C31" s="665"/>
      <c r="D31" s="665"/>
      <c r="E31" s="665"/>
      <c r="F31" s="665"/>
      <c r="G31" s="665"/>
      <c r="H31" s="665"/>
      <c r="I31" s="665"/>
      <c r="J31" s="665"/>
      <c r="K31" s="665"/>
      <c r="L31" s="426"/>
    </row>
    <row r="32" spans="1:12">
      <c r="A32" s="426"/>
      <c r="L32" s="426"/>
    </row>
    <row r="33" spans="1:12">
      <c r="A33" s="426"/>
      <c r="B33" s="665" t="s">
        <v>590</v>
      </c>
      <c r="C33" s="665"/>
      <c r="D33" s="665"/>
      <c r="E33" s="665"/>
      <c r="F33" s="665"/>
      <c r="G33" s="665"/>
      <c r="H33" s="665"/>
      <c r="I33" s="665"/>
      <c r="J33" s="665"/>
      <c r="K33" s="665"/>
      <c r="L33" s="426"/>
    </row>
    <row r="34" spans="1:12">
      <c r="A34" s="426"/>
      <c r="L34" s="426"/>
    </row>
    <row r="35" spans="1:12" ht="89.25" customHeight="1">
      <c r="A35" s="426"/>
      <c r="B35" s="666" t="s">
        <v>591</v>
      </c>
      <c r="C35" s="669"/>
      <c r="D35" s="669"/>
      <c r="E35" s="669"/>
      <c r="F35" s="669"/>
      <c r="G35" s="669"/>
      <c r="H35" s="669"/>
      <c r="I35" s="669"/>
      <c r="J35" s="669"/>
      <c r="K35" s="669"/>
      <c r="L35" s="426"/>
    </row>
    <row r="36" spans="1:12">
      <c r="A36" s="426"/>
      <c r="L36" s="426"/>
    </row>
    <row r="37" spans="1:12">
      <c r="A37" s="426"/>
      <c r="B37" s="431" t="s">
        <v>592</v>
      </c>
      <c r="L37" s="426"/>
    </row>
    <row r="38" spans="1:12">
      <c r="A38" s="426"/>
      <c r="L38" s="426"/>
    </row>
    <row r="39" spans="1:12">
      <c r="A39" s="426"/>
      <c r="B39" s="428" t="s">
        <v>593</v>
      </c>
      <c r="L39" s="426"/>
    </row>
    <row r="40" spans="1:12">
      <c r="A40" s="426"/>
      <c r="L40" s="426"/>
    </row>
    <row r="41" spans="1:12">
      <c r="A41" s="426"/>
      <c r="C41" s="670">
        <v>3120000</v>
      </c>
      <c r="D41" s="670"/>
      <c r="E41" s="428" t="s">
        <v>586</v>
      </c>
      <c r="F41" s="432">
        <v>1000</v>
      </c>
      <c r="G41" s="432" t="s">
        <v>585</v>
      </c>
      <c r="H41" s="445">
        <f>C41/F41</f>
        <v>3120</v>
      </c>
      <c r="L41" s="426"/>
    </row>
    <row r="42" spans="1:12">
      <c r="A42" s="426"/>
      <c r="L42" s="426"/>
    </row>
    <row r="43" spans="1:12">
      <c r="A43" s="426"/>
      <c r="B43" s="428" t="s">
        <v>594</v>
      </c>
      <c r="L43" s="426"/>
    </row>
    <row r="44" spans="1:12">
      <c r="A44" s="426"/>
      <c r="L44" s="426"/>
    </row>
    <row r="45" spans="1:12">
      <c r="A45" s="426"/>
      <c r="B45" s="428" t="s">
        <v>595</v>
      </c>
      <c r="L45" s="426"/>
    </row>
    <row r="46" spans="1:12" ht="15" thickBot="1">
      <c r="A46" s="426"/>
      <c r="L46" s="426"/>
    </row>
    <row r="47" spans="1:12">
      <c r="A47" s="426"/>
      <c r="B47" s="446" t="s">
        <v>579</v>
      </c>
      <c r="C47" s="435"/>
      <c r="D47" s="435"/>
      <c r="E47" s="435"/>
      <c r="F47" s="435"/>
      <c r="G47" s="435"/>
      <c r="H47" s="435"/>
      <c r="I47" s="435"/>
      <c r="J47" s="435"/>
      <c r="K47" s="436"/>
      <c r="L47" s="426"/>
    </row>
    <row r="48" spans="1:12">
      <c r="A48" s="426"/>
      <c r="B48" s="660">
        <v>133685008</v>
      </c>
      <c r="C48" s="660"/>
      <c r="D48" s="438" t="s">
        <v>596</v>
      </c>
      <c r="E48" s="438" t="s">
        <v>586</v>
      </c>
      <c r="F48" s="439">
        <v>1000</v>
      </c>
      <c r="G48" s="439" t="s">
        <v>585</v>
      </c>
      <c r="H48" s="440">
        <f>B48/F48</f>
        <v>133685.008</v>
      </c>
      <c r="I48" s="438" t="s">
        <v>597</v>
      </c>
      <c r="J48" s="438"/>
      <c r="K48" s="441"/>
      <c r="L48" s="426"/>
    </row>
    <row r="49" spans="1:24">
      <c r="A49" s="426"/>
      <c r="B49" s="447"/>
      <c r="C49" s="438"/>
      <c r="D49" s="438"/>
      <c r="E49" s="438"/>
      <c r="F49" s="438"/>
      <c r="G49" s="438"/>
      <c r="H49" s="438"/>
      <c r="I49" s="438"/>
      <c r="J49" s="438"/>
      <c r="K49" s="441"/>
      <c r="L49" s="426"/>
    </row>
    <row r="50" spans="1:24">
      <c r="A50" s="426"/>
      <c r="B50" s="448">
        <v>7067793</v>
      </c>
      <c r="C50" s="438" t="s">
        <v>598</v>
      </c>
      <c r="D50" s="438"/>
      <c r="E50" s="438" t="s">
        <v>586</v>
      </c>
      <c r="F50" s="440">
        <f>H48</f>
        <v>133685.008</v>
      </c>
      <c r="G50" s="671" t="s">
        <v>599</v>
      </c>
      <c r="H50" s="672"/>
      <c r="I50" s="439" t="s">
        <v>585</v>
      </c>
      <c r="J50" s="449">
        <f>B50/F50</f>
        <v>52.869002334203401</v>
      </c>
      <c r="K50" s="441"/>
      <c r="L50" s="426"/>
    </row>
    <row r="51" spans="1:24" ht="15" thickBot="1">
      <c r="A51" s="426"/>
      <c r="B51" s="442"/>
      <c r="C51" s="443"/>
      <c r="D51" s="443"/>
      <c r="E51" s="443"/>
      <c r="F51" s="443"/>
      <c r="G51" s="443"/>
      <c r="H51" s="443"/>
      <c r="I51" s="673" t="s">
        <v>600</v>
      </c>
      <c r="J51" s="673"/>
      <c r="K51" s="674"/>
      <c r="L51" s="426"/>
      <c r="O51" s="450"/>
    </row>
    <row r="52" spans="1:24" ht="40.5" customHeight="1">
      <c r="A52" s="426"/>
      <c r="B52" s="668" t="s">
        <v>575</v>
      </c>
      <c r="C52" s="668"/>
      <c r="D52" s="668"/>
      <c r="E52" s="668"/>
      <c r="F52" s="668"/>
      <c r="G52" s="668"/>
      <c r="H52" s="668"/>
      <c r="I52" s="668"/>
      <c r="J52" s="668"/>
      <c r="K52" s="668"/>
      <c r="L52" s="426"/>
    </row>
    <row r="53" spans="1:24">
      <c r="A53" s="426"/>
      <c r="B53" s="665" t="s">
        <v>601</v>
      </c>
      <c r="C53" s="665"/>
      <c r="D53" s="665"/>
      <c r="E53" s="665"/>
      <c r="F53" s="665"/>
      <c r="G53" s="665"/>
      <c r="H53" s="665"/>
      <c r="I53" s="665"/>
      <c r="J53" s="665"/>
      <c r="K53" s="665"/>
      <c r="L53" s="426"/>
    </row>
    <row r="54" spans="1:24">
      <c r="A54" s="426"/>
      <c r="B54" s="430"/>
      <c r="C54" s="430"/>
      <c r="D54" s="430"/>
      <c r="E54" s="430"/>
      <c r="F54" s="430"/>
      <c r="G54" s="430"/>
      <c r="H54" s="430"/>
      <c r="I54" s="430"/>
      <c r="J54" s="430"/>
      <c r="K54" s="430"/>
      <c r="L54" s="426"/>
    </row>
    <row r="55" spans="1:24">
      <c r="A55" s="426"/>
      <c r="B55" s="661" t="s">
        <v>602</v>
      </c>
      <c r="C55" s="661"/>
      <c r="D55" s="661"/>
      <c r="E55" s="661"/>
      <c r="F55" s="661"/>
      <c r="G55" s="661"/>
      <c r="H55" s="661"/>
      <c r="I55" s="661"/>
      <c r="J55" s="661"/>
      <c r="K55" s="661"/>
      <c r="L55" s="426"/>
    </row>
    <row r="56" spans="1:24" ht="15" customHeight="1">
      <c r="A56" s="426"/>
      <c r="L56" s="426"/>
    </row>
    <row r="57" spans="1:24" ht="74.25" customHeight="1">
      <c r="A57" s="426"/>
      <c r="B57" s="666" t="s">
        <v>603</v>
      </c>
      <c r="C57" s="669"/>
      <c r="D57" s="669"/>
      <c r="E57" s="669"/>
      <c r="F57" s="669"/>
      <c r="G57" s="669"/>
      <c r="H57" s="669"/>
      <c r="I57" s="669"/>
      <c r="J57" s="669"/>
      <c r="K57" s="669"/>
      <c r="L57" s="426"/>
      <c r="M57" s="451"/>
      <c r="N57" s="452"/>
      <c r="O57" s="452"/>
      <c r="P57" s="452"/>
      <c r="Q57" s="452"/>
      <c r="R57" s="452"/>
      <c r="S57" s="452"/>
      <c r="T57" s="452"/>
      <c r="U57" s="452"/>
      <c r="V57" s="452"/>
      <c r="W57" s="452"/>
      <c r="X57" s="452"/>
    </row>
    <row r="58" spans="1:24" ht="15" customHeight="1">
      <c r="A58" s="426"/>
      <c r="B58" s="666"/>
      <c r="C58" s="669"/>
      <c r="D58" s="669"/>
      <c r="E58" s="669"/>
      <c r="F58" s="669"/>
      <c r="G58" s="669"/>
      <c r="H58" s="669"/>
      <c r="I58" s="669"/>
      <c r="J58" s="669"/>
      <c r="K58" s="669"/>
      <c r="L58" s="426"/>
      <c r="M58" s="451"/>
      <c r="N58" s="452"/>
      <c r="O58" s="452"/>
      <c r="P58" s="452"/>
      <c r="Q58" s="452"/>
      <c r="R58" s="452"/>
      <c r="S58" s="452"/>
      <c r="T58" s="452"/>
      <c r="U58" s="452"/>
      <c r="V58" s="452"/>
      <c r="W58" s="452"/>
      <c r="X58" s="452"/>
    </row>
    <row r="59" spans="1:24">
      <c r="A59" s="426"/>
      <c r="B59" s="431" t="s">
        <v>592</v>
      </c>
      <c r="L59" s="426"/>
      <c r="M59" s="452"/>
      <c r="N59" s="452"/>
      <c r="O59" s="452"/>
      <c r="P59" s="452"/>
      <c r="Q59" s="452"/>
      <c r="R59" s="452"/>
      <c r="S59" s="452"/>
      <c r="T59" s="452"/>
      <c r="U59" s="452"/>
      <c r="V59" s="452"/>
      <c r="W59" s="452"/>
      <c r="X59" s="452"/>
    </row>
    <row r="60" spans="1:24">
      <c r="A60" s="426"/>
      <c r="L60" s="426"/>
      <c r="M60" s="452"/>
      <c r="N60" s="452"/>
      <c r="O60" s="452"/>
      <c r="P60" s="452"/>
      <c r="Q60" s="452"/>
      <c r="R60" s="452"/>
      <c r="S60" s="452"/>
      <c r="T60" s="452"/>
      <c r="U60" s="452"/>
      <c r="V60" s="452"/>
      <c r="W60" s="452"/>
      <c r="X60" s="452"/>
    </row>
    <row r="61" spans="1:24">
      <c r="A61" s="426"/>
      <c r="B61" s="428" t="s">
        <v>604</v>
      </c>
      <c r="L61" s="426"/>
      <c r="M61" s="452"/>
      <c r="N61" s="452"/>
      <c r="O61" s="452"/>
      <c r="P61" s="452"/>
      <c r="Q61" s="452"/>
      <c r="R61" s="452"/>
      <c r="S61" s="452"/>
      <c r="T61" s="452"/>
      <c r="U61" s="452"/>
      <c r="V61" s="452"/>
      <c r="W61" s="452"/>
      <c r="X61" s="452"/>
    </row>
    <row r="62" spans="1:24">
      <c r="A62" s="426"/>
      <c r="B62" s="428" t="s">
        <v>605</v>
      </c>
      <c r="L62" s="426"/>
      <c r="M62" s="452"/>
      <c r="N62" s="452"/>
      <c r="O62" s="452"/>
      <c r="P62" s="452"/>
      <c r="Q62" s="452"/>
      <c r="R62" s="452"/>
      <c r="S62" s="452"/>
      <c r="T62" s="452"/>
      <c r="U62" s="452"/>
      <c r="V62" s="452"/>
      <c r="W62" s="452"/>
      <c r="X62" s="452"/>
    </row>
    <row r="63" spans="1:24">
      <c r="A63" s="426"/>
      <c r="B63" s="428" t="s">
        <v>606</v>
      </c>
      <c r="L63" s="426"/>
      <c r="M63" s="452"/>
      <c r="N63" s="452"/>
      <c r="O63" s="452"/>
      <c r="P63" s="452"/>
      <c r="Q63" s="452"/>
      <c r="R63" s="452"/>
      <c r="S63" s="452"/>
      <c r="T63" s="452"/>
      <c r="U63" s="452"/>
      <c r="V63" s="452"/>
      <c r="W63" s="452"/>
      <c r="X63" s="452"/>
    </row>
    <row r="64" spans="1:24">
      <c r="A64" s="426"/>
      <c r="L64" s="426"/>
      <c r="M64" s="452"/>
      <c r="N64" s="452"/>
      <c r="O64" s="452"/>
      <c r="P64" s="452"/>
      <c r="Q64" s="452"/>
      <c r="R64" s="452"/>
      <c r="S64" s="452"/>
      <c r="T64" s="452"/>
      <c r="U64" s="452"/>
      <c r="V64" s="452"/>
      <c r="W64" s="452"/>
      <c r="X64" s="452"/>
    </row>
    <row r="65" spans="1:24">
      <c r="A65" s="426"/>
      <c r="B65" s="428" t="s">
        <v>607</v>
      </c>
      <c r="L65" s="426"/>
      <c r="M65" s="452"/>
      <c r="N65" s="452"/>
      <c r="O65" s="452"/>
      <c r="P65" s="452"/>
      <c r="Q65" s="452"/>
      <c r="R65" s="452"/>
      <c r="S65" s="452"/>
      <c r="T65" s="452"/>
      <c r="U65" s="452"/>
      <c r="V65" s="452"/>
      <c r="W65" s="452"/>
      <c r="X65" s="452"/>
    </row>
    <row r="66" spans="1:24">
      <c r="A66" s="426"/>
      <c r="B66" s="428" t="s">
        <v>608</v>
      </c>
      <c r="L66" s="426"/>
      <c r="M66" s="452"/>
      <c r="N66" s="452"/>
      <c r="O66" s="452"/>
      <c r="P66" s="452"/>
      <c r="Q66" s="452"/>
      <c r="R66" s="452"/>
      <c r="S66" s="452"/>
      <c r="T66" s="452"/>
      <c r="U66" s="452"/>
      <c r="V66" s="452"/>
      <c r="W66" s="452"/>
      <c r="X66" s="452"/>
    </row>
    <row r="67" spans="1:24">
      <c r="A67" s="426"/>
      <c r="L67" s="426"/>
      <c r="M67" s="452"/>
      <c r="N67" s="452"/>
      <c r="O67" s="452"/>
      <c r="P67" s="452"/>
      <c r="Q67" s="452"/>
      <c r="R67" s="452"/>
      <c r="S67" s="452"/>
      <c r="T67" s="452"/>
      <c r="U67" s="452"/>
      <c r="V67" s="452"/>
      <c r="W67" s="452"/>
      <c r="X67" s="452"/>
    </row>
    <row r="68" spans="1:24">
      <c r="A68" s="426"/>
      <c r="B68" s="428" t="s">
        <v>609</v>
      </c>
      <c r="L68" s="426"/>
      <c r="M68" s="453"/>
      <c r="N68" s="454"/>
      <c r="O68" s="454"/>
      <c r="P68" s="454"/>
      <c r="Q68" s="454"/>
      <c r="R68" s="454"/>
      <c r="S68" s="454"/>
      <c r="T68" s="454"/>
      <c r="U68" s="454"/>
      <c r="V68" s="454"/>
      <c r="W68" s="454"/>
      <c r="X68" s="452"/>
    </row>
    <row r="69" spans="1:24">
      <c r="A69" s="426"/>
      <c r="B69" s="428" t="s">
        <v>610</v>
      </c>
      <c r="L69" s="426"/>
      <c r="M69" s="452"/>
      <c r="N69" s="452"/>
      <c r="O69" s="452"/>
      <c r="P69" s="452"/>
      <c r="Q69" s="452"/>
      <c r="R69" s="452"/>
      <c r="S69" s="452"/>
      <c r="T69" s="452"/>
      <c r="U69" s="452"/>
      <c r="V69" s="452"/>
      <c r="W69" s="452"/>
      <c r="X69" s="452"/>
    </row>
    <row r="70" spans="1:24">
      <c r="A70" s="426"/>
      <c r="B70" s="428" t="s">
        <v>611</v>
      </c>
      <c r="L70" s="426"/>
      <c r="M70" s="452"/>
      <c r="N70" s="452"/>
      <c r="O70" s="452"/>
      <c r="P70" s="452"/>
      <c r="Q70" s="452"/>
      <c r="R70" s="452"/>
      <c r="S70" s="452"/>
      <c r="T70" s="452"/>
      <c r="U70" s="452"/>
      <c r="V70" s="452"/>
      <c r="W70" s="452"/>
      <c r="X70" s="452"/>
    </row>
    <row r="71" spans="1:24" ht="15" thickBot="1">
      <c r="A71" s="426"/>
      <c r="B71" s="438"/>
      <c r="C71" s="438"/>
      <c r="D71" s="438"/>
      <c r="E71" s="438"/>
      <c r="F71" s="438"/>
      <c r="G71" s="438"/>
      <c r="H71" s="438"/>
      <c r="I71" s="438"/>
      <c r="J71" s="438"/>
      <c r="K71" s="438"/>
      <c r="L71" s="426"/>
    </row>
    <row r="72" spans="1:24">
      <c r="A72" s="426"/>
      <c r="B72" s="434" t="s">
        <v>579</v>
      </c>
      <c r="C72" s="435"/>
      <c r="D72" s="435"/>
      <c r="E72" s="435"/>
      <c r="F72" s="435"/>
      <c r="G72" s="435"/>
      <c r="H72" s="435"/>
      <c r="I72" s="435"/>
      <c r="J72" s="435"/>
      <c r="K72" s="436"/>
      <c r="L72" s="455"/>
    </row>
    <row r="73" spans="1:24">
      <c r="A73" s="426"/>
      <c r="B73" s="447"/>
      <c r="C73" s="438" t="s">
        <v>587</v>
      </c>
      <c r="D73" s="438"/>
      <c r="E73" s="438"/>
      <c r="F73" s="438"/>
      <c r="G73" s="438"/>
      <c r="H73" s="438"/>
      <c r="I73" s="438"/>
      <c r="J73" s="438"/>
      <c r="K73" s="441"/>
      <c r="L73" s="455"/>
    </row>
    <row r="74" spans="1:24">
      <c r="A74" s="426"/>
      <c r="B74" s="447" t="s">
        <v>612</v>
      </c>
      <c r="C74" s="660">
        <v>133685008</v>
      </c>
      <c r="D74" s="660"/>
      <c r="E74" s="439" t="s">
        <v>586</v>
      </c>
      <c r="F74" s="439">
        <v>1000</v>
      </c>
      <c r="G74" s="439" t="s">
        <v>585</v>
      </c>
      <c r="H74" s="456">
        <f>C74/F74</f>
        <v>133685.008</v>
      </c>
      <c r="I74" s="438" t="s">
        <v>613</v>
      </c>
      <c r="J74" s="438"/>
      <c r="K74" s="441"/>
      <c r="L74" s="455"/>
    </row>
    <row r="75" spans="1:24">
      <c r="A75" s="426"/>
      <c r="B75" s="447"/>
      <c r="C75" s="438"/>
      <c r="D75" s="438"/>
      <c r="E75" s="439"/>
      <c r="F75" s="438"/>
      <c r="G75" s="438"/>
      <c r="H75" s="438"/>
      <c r="I75" s="438"/>
      <c r="J75" s="438"/>
      <c r="K75" s="441"/>
      <c r="L75" s="455"/>
    </row>
    <row r="76" spans="1:24">
      <c r="A76" s="426"/>
      <c r="B76" s="447"/>
      <c r="C76" s="438" t="s">
        <v>614</v>
      </c>
      <c r="D76" s="438"/>
      <c r="E76" s="439"/>
      <c r="F76" s="438" t="s">
        <v>613</v>
      </c>
      <c r="G76" s="438"/>
      <c r="H76" s="438"/>
      <c r="I76" s="438"/>
      <c r="J76" s="438"/>
      <c r="K76" s="441"/>
      <c r="L76" s="455"/>
    </row>
    <row r="77" spans="1:24">
      <c r="A77" s="426"/>
      <c r="B77" s="447" t="s">
        <v>615</v>
      </c>
      <c r="C77" s="660">
        <v>5000</v>
      </c>
      <c r="D77" s="660"/>
      <c r="E77" s="439" t="s">
        <v>586</v>
      </c>
      <c r="F77" s="456">
        <f>H74</f>
        <v>133685.008</v>
      </c>
      <c r="G77" s="439" t="s">
        <v>585</v>
      </c>
      <c r="H77" s="449">
        <f>C77/F77</f>
        <v>3.740135169083432E-2</v>
      </c>
      <c r="I77" s="438" t="s">
        <v>616</v>
      </c>
      <c r="J77" s="438"/>
      <c r="K77" s="441"/>
      <c r="L77" s="455"/>
    </row>
    <row r="78" spans="1:24">
      <c r="A78" s="426"/>
      <c r="B78" s="447"/>
      <c r="C78" s="438"/>
      <c r="D78" s="438"/>
      <c r="E78" s="439"/>
      <c r="F78" s="438"/>
      <c r="G78" s="438"/>
      <c r="H78" s="438"/>
      <c r="I78" s="438"/>
      <c r="J78" s="438"/>
      <c r="K78" s="441"/>
      <c r="L78" s="455"/>
    </row>
    <row r="79" spans="1:24">
      <c r="A79" s="426"/>
      <c r="B79" s="457"/>
      <c r="C79" s="458" t="s">
        <v>617</v>
      </c>
      <c r="D79" s="458"/>
      <c r="E79" s="459"/>
      <c r="F79" s="458"/>
      <c r="G79" s="458"/>
      <c r="H79" s="458"/>
      <c r="I79" s="458"/>
      <c r="J79" s="458"/>
      <c r="K79" s="460"/>
      <c r="L79" s="455"/>
    </row>
    <row r="80" spans="1:24">
      <c r="A80" s="426"/>
      <c r="B80" s="447" t="s">
        <v>618</v>
      </c>
      <c r="C80" s="660">
        <v>100000</v>
      </c>
      <c r="D80" s="660"/>
      <c r="E80" s="439" t="s">
        <v>28</v>
      </c>
      <c r="F80" s="439">
        <v>0.115</v>
      </c>
      <c r="G80" s="439" t="s">
        <v>585</v>
      </c>
      <c r="H80" s="456">
        <f>C80*F80</f>
        <v>11500</v>
      </c>
      <c r="I80" s="438" t="s">
        <v>619</v>
      </c>
      <c r="J80" s="438"/>
      <c r="K80" s="441"/>
      <c r="L80" s="455"/>
    </row>
    <row r="81" spans="1:12">
      <c r="A81" s="426"/>
      <c r="B81" s="447"/>
      <c r="C81" s="438"/>
      <c r="D81" s="438"/>
      <c r="E81" s="439"/>
      <c r="F81" s="438"/>
      <c r="G81" s="438"/>
      <c r="H81" s="438"/>
      <c r="I81" s="438"/>
      <c r="J81" s="438"/>
      <c r="K81" s="441"/>
      <c r="L81" s="455"/>
    </row>
    <row r="82" spans="1:12">
      <c r="A82" s="426"/>
      <c r="B82" s="457"/>
      <c r="C82" s="458" t="s">
        <v>620</v>
      </c>
      <c r="D82" s="458"/>
      <c r="E82" s="459"/>
      <c r="F82" s="458" t="s">
        <v>616</v>
      </c>
      <c r="G82" s="458"/>
      <c r="H82" s="458"/>
      <c r="I82" s="458"/>
      <c r="J82" s="458" t="s">
        <v>621</v>
      </c>
      <c r="K82" s="460"/>
      <c r="L82" s="455"/>
    </row>
    <row r="83" spans="1:12">
      <c r="A83" s="426"/>
      <c r="B83" s="447" t="s">
        <v>622</v>
      </c>
      <c r="C83" s="675">
        <f>H80</f>
        <v>11500</v>
      </c>
      <c r="D83" s="675"/>
      <c r="E83" s="439" t="s">
        <v>28</v>
      </c>
      <c r="F83" s="449">
        <f>H77</f>
        <v>3.740135169083432E-2</v>
      </c>
      <c r="G83" s="439" t="s">
        <v>586</v>
      </c>
      <c r="H83" s="439">
        <v>1000</v>
      </c>
      <c r="I83" s="439" t="s">
        <v>585</v>
      </c>
      <c r="J83" s="461">
        <f>C83*F83/H83</f>
        <v>0.43011554444459466</v>
      </c>
      <c r="K83" s="441"/>
      <c r="L83" s="455"/>
    </row>
    <row r="84" spans="1:12" ht="15" thickBot="1">
      <c r="A84" s="426"/>
      <c r="B84" s="442"/>
      <c r="C84" s="462"/>
      <c r="D84" s="462"/>
      <c r="E84" s="463"/>
      <c r="F84" s="464"/>
      <c r="G84" s="463"/>
      <c r="H84" s="463"/>
      <c r="I84" s="463"/>
      <c r="J84" s="465"/>
      <c r="K84" s="444"/>
      <c r="L84" s="455"/>
    </row>
    <row r="85" spans="1:12" ht="40.5" customHeight="1">
      <c r="A85" s="426"/>
      <c r="B85" s="668" t="s">
        <v>575</v>
      </c>
      <c r="C85" s="668"/>
      <c r="D85" s="668"/>
      <c r="E85" s="668"/>
      <c r="F85" s="668"/>
      <c r="G85" s="668"/>
      <c r="H85" s="668"/>
      <c r="I85" s="668"/>
      <c r="J85" s="668"/>
      <c r="K85" s="668"/>
      <c r="L85" s="426"/>
    </row>
    <row r="86" spans="1:12">
      <c r="A86" s="426"/>
      <c r="B86" s="661" t="s">
        <v>623</v>
      </c>
      <c r="C86" s="661"/>
      <c r="D86" s="661"/>
      <c r="E86" s="661"/>
      <c r="F86" s="661"/>
      <c r="G86" s="661"/>
      <c r="H86" s="661"/>
      <c r="I86" s="661"/>
      <c r="J86" s="661"/>
      <c r="K86" s="661"/>
      <c r="L86" s="426"/>
    </row>
    <row r="87" spans="1:12">
      <c r="A87" s="426"/>
      <c r="B87" s="466"/>
      <c r="C87" s="466"/>
      <c r="D87" s="466"/>
      <c r="E87" s="466"/>
      <c r="F87" s="466"/>
      <c r="G87" s="466"/>
      <c r="H87" s="466"/>
      <c r="I87" s="466"/>
      <c r="J87" s="466"/>
      <c r="K87" s="466"/>
      <c r="L87" s="426"/>
    </row>
    <row r="88" spans="1:12">
      <c r="A88" s="426"/>
      <c r="B88" s="661" t="s">
        <v>624</v>
      </c>
      <c r="C88" s="661"/>
      <c r="D88" s="661"/>
      <c r="E88" s="661"/>
      <c r="F88" s="661"/>
      <c r="G88" s="661"/>
      <c r="H88" s="661"/>
      <c r="I88" s="661"/>
      <c r="J88" s="661"/>
      <c r="K88" s="661"/>
      <c r="L88" s="426"/>
    </row>
    <row r="89" spans="1:12">
      <c r="A89" s="426"/>
      <c r="B89" s="467"/>
      <c r="C89" s="467"/>
      <c r="D89" s="467"/>
      <c r="E89" s="467"/>
      <c r="F89" s="467"/>
      <c r="G89" s="467"/>
      <c r="H89" s="467"/>
      <c r="I89" s="467"/>
      <c r="J89" s="467"/>
      <c r="K89" s="467"/>
      <c r="L89" s="426"/>
    </row>
    <row r="90" spans="1:12" ht="45" customHeight="1">
      <c r="A90" s="426"/>
      <c r="B90" s="666" t="s">
        <v>625</v>
      </c>
      <c r="C90" s="666"/>
      <c r="D90" s="666"/>
      <c r="E90" s="666"/>
      <c r="F90" s="666"/>
      <c r="G90" s="666"/>
      <c r="H90" s="666"/>
      <c r="I90" s="666"/>
      <c r="J90" s="666"/>
      <c r="K90" s="666"/>
      <c r="L90" s="426"/>
    </row>
    <row r="91" spans="1:12" ht="15" customHeight="1" thickBot="1">
      <c r="A91" s="426"/>
      <c r="L91" s="426"/>
    </row>
    <row r="92" spans="1:12" ht="15" customHeight="1">
      <c r="A92" s="426"/>
      <c r="B92" s="468" t="s">
        <v>579</v>
      </c>
      <c r="C92" s="469"/>
      <c r="D92" s="469"/>
      <c r="E92" s="469"/>
      <c r="F92" s="469"/>
      <c r="G92" s="469"/>
      <c r="H92" s="469"/>
      <c r="I92" s="469"/>
      <c r="J92" s="469"/>
      <c r="K92" s="470"/>
      <c r="L92" s="426"/>
    </row>
    <row r="93" spans="1:12" ht="15" customHeight="1">
      <c r="A93" s="426"/>
      <c r="B93" s="471"/>
      <c r="C93" s="472" t="s">
        <v>587</v>
      </c>
      <c r="D93" s="472"/>
      <c r="E93" s="472"/>
      <c r="F93" s="472"/>
      <c r="G93" s="472"/>
      <c r="H93" s="472"/>
      <c r="I93" s="472"/>
      <c r="J93" s="472"/>
      <c r="K93" s="473"/>
      <c r="L93" s="426"/>
    </row>
    <row r="94" spans="1:12" ht="15" customHeight="1">
      <c r="A94" s="426"/>
      <c r="B94" s="471" t="s">
        <v>612</v>
      </c>
      <c r="C94" s="660">
        <v>133685008</v>
      </c>
      <c r="D94" s="660"/>
      <c r="E94" s="439" t="s">
        <v>586</v>
      </c>
      <c r="F94" s="439">
        <v>1000</v>
      </c>
      <c r="G94" s="439" t="s">
        <v>585</v>
      </c>
      <c r="H94" s="456">
        <f>C94/F94</f>
        <v>133685.008</v>
      </c>
      <c r="I94" s="472" t="s">
        <v>613</v>
      </c>
      <c r="J94" s="472"/>
      <c r="K94" s="473"/>
      <c r="L94" s="426"/>
    </row>
    <row r="95" spans="1:12" ht="15" customHeight="1">
      <c r="A95" s="426"/>
      <c r="B95" s="471"/>
      <c r="C95" s="472"/>
      <c r="D95" s="472"/>
      <c r="E95" s="439"/>
      <c r="F95" s="472"/>
      <c r="G95" s="472"/>
      <c r="H95" s="472"/>
      <c r="I95" s="472"/>
      <c r="J95" s="472"/>
      <c r="K95" s="473"/>
      <c r="L95" s="426"/>
    </row>
    <row r="96" spans="1:12" ht="15" customHeight="1">
      <c r="A96" s="426"/>
      <c r="B96" s="471"/>
      <c r="C96" s="472" t="s">
        <v>614</v>
      </c>
      <c r="D96" s="472"/>
      <c r="E96" s="439"/>
      <c r="F96" s="472" t="s">
        <v>613</v>
      </c>
      <c r="G96" s="472"/>
      <c r="H96" s="472"/>
      <c r="I96" s="472"/>
      <c r="J96" s="472"/>
      <c r="K96" s="473"/>
      <c r="L96" s="426"/>
    </row>
    <row r="97" spans="1:12" ht="15" customHeight="1">
      <c r="A97" s="426"/>
      <c r="B97" s="471" t="s">
        <v>615</v>
      </c>
      <c r="C97" s="660">
        <v>50000</v>
      </c>
      <c r="D97" s="660"/>
      <c r="E97" s="439" t="s">
        <v>586</v>
      </c>
      <c r="F97" s="456">
        <f>H94</f>
        <v>133685.008</v>
      </c>
      <c r="G97" s="439" t="s">
        <v>585</v>
      </c>
      <c r="H97" s="449">
        <f>C97/F97</f>
        <v>0.37401351690834322</v>
      </c>
      <c r="I97" s="472" t="s">
        <v>616</v>
      </c>
      <c r="J97" s="472"/>
      <c r="K97" s="473"/>
      <c r="L97" s="426"/>
    </row>
    <row r="98" spans="1:12" ht="15" customHeight="1">
      <c r="A98" s="426"/>
      <c r="B98" s="471"/>
      <c r="C98" s="472"/>
      <c r="D98" s="472"/>
      <c r="E98" s="439"/>
      <c r="F98" s="472"/>
      <c r="G98" s="472"/>
      <c r="H98" s="472"/>
      <c r="I98" s="472"/>
      <c r="J98" s="472"/>
      <c r="K98" s="473"/>
      <c r="L98" s="426"/>
    </row>
    <row r="99" spans="1:12" ht="15" customHeight="1">
      <c r="A99" s="426"/>
      <c r="B99" s="474"/>
      <c r="C99" s="475" t="s">
        <v>626</v>
      </c>
      <c r="D99" s="475"/>
      <c r="E99" s="459"/>
      <c r="F99" s="475"/>
      <c r="G99" s="475"/>
      <c r="H99" s="475"/>
      <c r="I99" s="475"/>
      <c r="J99" s="475"/>
      <c r="K99" s="476"/>
      <c r="L99" s="426"/>
    </row>
    <row r="100" spans="1:12" ht="15" customHeight="1">
      <c r="A100" s="426"/>
      <c r="B100" s="471" t="s">
        <v>618</v>
      </c>
      <c r="C100" s="660">
        <v>2500000</v>
      </c>
      <c r="D100" s="660"/>
      <c r="E100" s="439" t="s">
        <v>28</v>
      </c>
      <c r="F100" s="477">
        <v>0.3</v>
      </c>
      <c r="G100" s="439" t="s">
        <v>585</v>
      </c>
      <c r="H100" s="456">
        <f>C100*F100</f>
        <v>750000</v>
      </c>
      <c r="I100" s="472" t="s">
        <v>619</v>
      </c>
      <c r="J100" s="472"/>
      <c r="K100" s="473"/>
      <c r="L100" s="426"/>
    </row>
    <row r="101" spans="1:12" ht="15" customHeight="1">
      <c r="A101" s="426"/>
      <c r="B101" s="471"/>
      <c r="C101" s="472"/>
      <c r="D101" s="472"/>
      <c r="E101" s="439"/>
      <c r="F101" s="472"/>
      <c r="G101" s="472"/>
      <c r="H101" s="472"/>
      <c r="I101" s="472"/>
      <c r="J101" s="472"/>
      <c r="K101" s="473"/>
      <c r="L101" s="426"/>
    </row>
    <row r="102" spans="1:12" ht="15" customHeight="1">
      <c r="A102" s="426"/>
      <c r="B102" s="474"/>
      <c r="C102" s="475" t="s">
        <v>620</v>
      </c>
      <c r="D102" s="475"/>
      <c r="E102" s="459"/>
      <c r="F102" s="475" t="s">
        <v>616</v>
      </c>
      <c r="G102" s="475"/>
      <c r="H102" s="475"/>
      <c r="I102" s="475"/>
      <c r="J102" s="475" t="s">
        <v>621</v>
      </c>
      <c r="K102" s="476"/>
      <c r="L102" s="426"/>
    </row>
    <row r="103" spans="1:12" ht="15" customHeight="1">
      <c r="A103" s="426"/>
      <c r="B103" s="471" t="s">
        <v>622</v>
      </c>
      <c r="C103" s="675">
        <f>H100</f>
        <v>750000</v>
      </c>
      <c r="D103" s="675"/>
      <c r="E103" s="439" t="s">
        <v>28</v>
      </c>
      <c r="F103" s="449">
        <f>H97</f>
        <v>0.37401351690834322</v>
      </c>
      <c r="G103" s="439" t="s">
        <v>586</v>
      </c>
      <c r="H103" s="439">
        <v>1000</v>
      </c>
      <c r="I103" s="439" t="s">
        <v>585</v>
      </c>
      <c r="J103" s="461">
        <f>C103*F103/H103</f>
        <v>280.51013768125745</v>
      </c>
      <c r="K103" s="473"/>
      <c r="L103" s="426"/>
    </row>
    <row r="104" spans="1:12" ht="15" customHeight="1" thickBot="1">
      <c r="A104" s="426"/>
      <c r="B104" s="478"/>
      <c r="C104" s="462"/>
      <c r="D104" s="462"/>
      <c r="E104" s="463"/>
      <c r="F104" s="464"/>
      <c r="G104" s="463"/>
      <c r="H104" s="463"/>
      <c r="I104" s="463"/>
      <c r="J104" s="465"/>
      <c r="K104" s="479"/>
      <c r="L104" s="426"/>
    </row>
    <row r="105" spans="1:12" ht="40.5" customHeight="1">
      <c r="A105" s="426"/>
      <c r="B105" s="668" t="s">
        <v>575</v>
      </c>
      <c r="C105" s="676"/>
      <c r="D105" s="676"/>
      <c r="E105" s="676"/>
      <c r="F105" s="676"/>
      <c r="G105" s="676"/>
      <c r="H105" s="676"/>
      <c r="I105" s="676"/>
      <c r="J105" s="676"/>
      <c r="K105" s="676"/>
      <c r="L105" s="426"/>
    </row>
    <row r="106" spans="1:12" ht="15" customHeight="1">
      <c r="A106" s="426"/>
      <c r="B106" s="677" t="s">
        <v>627</v>
      </c>
      <c r="C106" s="662"/>
      <c r="D106" s="662"/>
      <c r="E106" s="662"/>
      <c r="F106" s="662"/>
      <c r="G106" s="662"/>
      <c r="H106" s="662"/>
      <c r="I106" s="662"/>
      <c r="J106" s="662"/>
      <c r="K106" s="662"/>
      <c r="L106" s="426"/>
    </row>
    <row r="107" spans="1:12" ht="15" customHeight="1">
      <c r="A107" s="426"/>
      <c r="B107" s="472"/>
      <c r="C107" s="480"/>
      <c r="D107" s="480"/>
      <c r="E107" s="439"/>
      <c r="F107" s="449"/>
      <c r="G107" s="439"/>
      <c r="H107" s="439"/>
      <c r="I107" s="439"/>
      <c r="J107" s="461"/>
      <c r="K107" s="472"/>
      <c r="L107" s="426"/>
    </row>
    <row r="108" spans="1:12" ht="15" customHeight="1">
      <c r="A108" s="426"/>
      <c r="B108" s="677" t="s">
        <v>628</v>
      </c>
      <c r="C108" s="678"/>
      <c r="D108" s="678"/>
      <c r="E108" s="678"/>
      <c r="F108" s="678"/>
      <c r="G108" s="678"/>
      <c r="H108" s="678"/>
      <c r="I108" s="678"/>
      <c r="J108" s="678"/>
      <c r="K108" s="678"/>
      <c r="L108" s="426"/>
    </row>
    <row r="109" spans="1:12" ht="15" customHeight="1">
      <c r="A109" s="426"/>
      <c r="B109" s="472"/>
      <c r="C109" s="480"/>
      <c r="D109" s="480"/>
      <c r="E109" s="439"/>
      <c r="F109" s="449"/>
      <c r="G109" s="439"/>
      <c r="H109" s="439"/>
      <c r="I109" s="439"/>
      <c r="J109" s="461"/>
      <c r="K109" s="472"/>
      <c r="L109" s="426"/>
    </row>
    <row r="110" spans="1:12" ht="59.25" customHeight="1">
      <c r="A110" s="426"/>
      <c r="B110" s="679" t="s">
        <v>629</v>
      </c>
      <c r="C110" s="669"/>
      <c r="D110" s="669"/>
      <c r="E110" s="669"/>
      <c r="F110" s="669"/>
      <c r="G110" s="669"/>
      <c r="H110" s="669"/>
      <c r="I110" s="669"/>
      <c r="J110" s="669"/>
      <c r="K110" s="669"/>
      <c r="L110" s="426"/>
    </row>
    <row r="111" spans="1:12" ht="15" thickBot="1">
      <c r="A111" s="426"/>
      <c r="B111" s="430"/>
      <c r="C111" s="430"/>
      <c r="D111" s="430"/>
      <c r="E111" s="430"/>
      <c r="F111" s="430"/>
      <c r="G111" s="430"/>
      <c r="H111" s="430"/>
      <c r="I111" s="430"/>
      <c r="J111" s="430"/>
      <c r="K111" s="430"/>
      <c r="L111" s="481"/>
    </row>
    <row r="112" spans="1:12">
      <c r="A112" s="426"/>
      <c r="B112" s="434" t="s">
        <v>579</v>
      </c>
      <c r="C112" s="435"/>
      <c r="D112" s="435"/>
      <c r="E112" s="435"/>
      <c r="F112" s="435"/>
      <c r="G112" s="435"/>
      <c r="H112" s="435"/>
      <c r="I112" s="435"/>
      <c r="J112" s="435"/>
      <c r="K112" s="436"/>
      <c r="L112" s="426"/>
    </row>
    <row r="113" spans="1:12">
      <c r="A113" s="426"/>
      <c r="B113" s="447"/>
      <c r="C113" s="438" t="s">
        <v>587</v>
      </c>
      <c r="D113" s="438"/>
      <c r="E113" s="438"/>
      <c r="F113" s="438"/>
      <c r="G113" s="438"/>
      <c r="H113" s="438"/>
      <c r="I113" s="438"/>
      <c r="J113" s="438"/>
      <c r="K113" s="441"/>
      <c r="L113" s="426"/>
    </row>
    <row r="114" spans="1:12">
      <c r="A114" s="426"/>
      <c r="B114" s="447" t="s">
        <v>612</v>
      </c>
      <c r="C114" s="660">
        <v>133685008</v>
      </c>
      <c r="D114" s="660"/>
      <c r="E114" s="439" t="s">
        <v>586</v>
      </c>
      <c r="F114" s="439">
        <v>1000</v>
      </c>
      <c r="G114" s="439" t="s">
        <v>585</v>
      </c>
      <c r="H114" s="456">
        <f>C114/F114</f>
        <v>133685.008</v>
      </c>
      <c r="I114" s="438" t="s">
        <v>613</v>
      </c>
      <c r="J114" s="438"/>
      <c r="K114" s="441"/>
      <c r="L114" s="426"/>
    </row>
    <row r="115" spans="1:12">
      <c r="A115" s="426"/>
      <c r="B115" s="447"/>
      <c r="C115" s="438"/>
      <c r="D115" s="438"/>
      <c r="E115" s="439"/>
      <c r="F115" s="438"/>
      <c r="G115" s="438"/>
      <c r="H115" s="438"/>
      <c r="I115" s="438"/>
      <c r="J115" s="438"/>
      <c r="K115" s="441"/>
      <c r="L115" s="426"/>
    </row>
    <row r="116" spans="1:12">
      <c r="A116" s="426"/>
      <c r="B116" s="447"/>
      <c r="C116" s="438" t="s">
        <v>614</v>
      </c>
      <c r="D116" s="438"/>
      <c r="E116" s="439"/>
      <c r="F116" s="438" t="s">
        <v>613</v>
      </c>
      <c r="G116" s="438"/>
      <c r="H116" s="438"/>
      <c r="I116" s="438"/>
      <c r="J116" s="438"/>
      <c r="K116" s="441"/>
      <c r="L116" s="426"/>
    </row>
    <row r="117" spans="1:12">
      <c r="A117" s="426"/>
      <c r="B117" s="447" t="s">
        <v>615</v>
      </c>
      <c r="C117" s="660">
        <v>50000</v>
      </c>
      <c r="D117" s="660"/>
      <c r="E117" s="439" t="s">
        <v>586</v>
      </c>
      <c r="F117" s="456">
        <f>H114</f>
        <v>133685.008</v>
      </c>
      <c r="G117" s="439" t="s">
        <v>585</v>
      </c>
      <c r="H117" s="449">
        <f>C117/F117</f>
        <v>0.37401351690834322</v>
      </c>
      <c r="I117" s="438" t="s">
        <v>616</v>
      </c>
      <c r="J117" s="438"/>
      <c r="K117" s="441"/>
      <c r="L117" s="426"/>
    </row>
    <row r="118" spans="1:12">
      <c r="A118" s="426"/>
      <c r="B118" s="447"/>
      <c r="C118" s="438"/>
      <c r="D118" s="438"/>
      <c r="E118" s="439"/>
      <c r="F118" s="438"/>
      <c r="G118" s="438"/>
      <c r="H118" s="438"/>
      <c r="I118" s="438"/>
      <c r="J118" s="438"/>
      <c r="K118" s="441"/>
      <c r="L118" s="426"/>
    </row>
    <row r="119" spans="1:12">
      <c r="A119" s="426"/>
      <c r="B119" s="457"/>
      <c r="C119" s="458" t="s">
        <v>626</v>
      </c>
      <c r="D119" s="458"/>
      <c r="E119" s="459"/>
      <c r="F119" s="458"/>
      <c r="G119" s="458"/>
      <c r="H119" s="458"/>
      <c r="I119" s="458"/>
      <c r="J119" s="458"/>
      <c r="K119" s="460"/>
      <c r="L119" s="426"/>
    </row>
    <row r="120" spans="1:12">
      <c r="A120" s="426"/>
      <c r="B120" s="447" t="s">
        <v>618</v>
      </c>
      <c r="C120" s="660">
        <v>2500000</v>
      </c>
      <c r="D120" s="660"/>
      <c r="E120" s="439" t="s">
        <v>28</v>
      </c>
      <c r="F120" s="477">
        <v>0.25</v>
      </c>
      <c r="G120" s="439" t="s">
        <v>585</v>
      </c>
      <c r="H120" s="456">
        <f>C120*F120</f>
        <v>625000</v>
      </c>
      <c r="I120" s="438" t="s">
        <v>619</v>
      </c>
      <c r="J120" s="438"/>
      <c r="K120" s="441"/>
      <c r="L120" s="426"/>
    </row>
    <row r="121" spans="1:12">
      <c r="A121" s="426"/>
      <c r="B121" s="447"/>
      <c r="C121" s="438"/>
      <c r="D121" s="438"/>
      <c r="E121" s="439"/>
      <c r="F121" s="438"/>
      <c r="G121" s="438"/>
      <c r="H121" s="438"/>
      <c r="I121" s="438"/>
      <c r="J121" s="438"/>
      <c r="K121" s="441"/>
      <c r="L121" s="426"/>
    </row>
    <row r="122" spans="1:12">
      <c r="A122" s="426"/>
      <c r="B122" s="457"/>
      <c r="C122" s="458" t="s">
        <v>620</v>
      </c>
      <c r="D122" s="458"/>
      <c r="E122" s="459"/>
      <c r="F122" s="458" t="s">
        <v>616</v>
      </c>
      <c r="G122" s="458"/>
      <c r="H122" s="458"/>
      <c r="I122" s="458"/>
      <c r="J122" s="458" t="s">
        <v>621</v>
      </c>
      <c r="K122" s="460"/>
      <c r="L122" s="426"/>
    </row>
    <row r="123" spans="1:12">
      <c r="A123" s="426"/>
      <c r="B123" s="447" t="s">
        <v>622</v>
      </c>
      <c r="C123" s="675">
        <f>H120</f>
        <v>625000</v>
      </c>
      <c r="D123" s="675"/>
      <c r="E123" s="439" t="s">
        <v>28</v>
      </c>
      <c r="F123" s="449">
        <f>H117</f>
        <v>0.37401351690834322</v>
      </c>
      <c r="G123" s="439" t="s">
        <v>586</v>
      </c>
      <c r="H123" s="439">
        <v>1000</v>
      </c>
      <c r="I123" s="439" t="s">
        <v>585</v>
      </c>
      <c r="J123" s="461">
        <f>C123*F123/H123</f>
        <v>233.75844806771451</v>
      </c>
      <c r="K123" s="441"/>
      <c r="L123" s="426"/>
    </row>
    <row r="124" spans="1:12" ht="15" thickBot="1">
      <c r="A124" s="426"/>
      <c r="B124" s="442"/>
      <c r="C124" s="462"/>
      <c r="D124" s="462"/>
      <c r="E124" s="463"/>
      <c r="F124" s="464"/>
      <c r="G124" s="463"/>
      <c r="H124" s="463"/>
      <c r="I124" s="463"/>
      <c r="J124" s="465"/>
      <c r="K124" s="444"/>
      <c r="L124" s="426"/>
    </row>
    <row r="125" spans="1:12" ht="40.5" customHeight="1">
      <c r="A125" s="426"/>
      <c r="B125" s="668" t="s">
        <v>575</v>
      </c>
      <c r="C125" s="668"/>
      <c r="D125" s="668"/>
      <c r="E125" s="668"/>
      <c r="F125" s="668"/>
      <c r="G125" s="668"/>
      <c r="H125" s="668"/>
      <c r="I125" s="668"/>
      <c r="J125" s="668"/>
      <c r="K125" s="668"/>
      <c r="L125" s="481"/>
    </row>
    <row r="126" spans="1:12">
      <c r="A126" s="426"/>
      <c r="B126" s="661" t="s">
        <v>630</v>
      </c>
      <c r="C126" s="661"/>
      <c r="D126" s="661"/>
      <c r="E126" s="661"/>
      <c r="F126" s="661"/>
      <c r="G126" s="661"/>
      <c r="H126" s="661"/>
      <c r="I126" s="661"/>
      <c r="J126" s="661"/>
      <c r="K126" s="661"/>
      <c r="L126" s="481"/>
    </row>
    <row r="127" spans="1:12">
      <c r="A127" s="426"/>
      <c r="B127" s="430"/>
      <c r="C127" s="430"/>
      <c r="D127" s="430"/>
      <c r="E127" s="430"/>
      <c r="F127" s="430"/>
      <c r="G127" s="430"/>
      <c r="H127" s="430"/>
      <c r="I127" s="430"/>
      <c r="J127" s="430"/>
      <c r="K127" s="430"/>
      <c r="L127" s="481"/>
    </row>
    <row r="128" spans="1:12">
      <c r="A128" s="426"/>
      <c r="B128" s="661" t="s">
        <v>631</v>
      </c>
      <c r="C128" s="661"/>
      <c r="D128" s="661"/>
      <c r="E128" s="661"/>
      <c r="F128" s="661"/>
      <c r="G128" s="661"/>
      <c r="H128" s="661"/>
      <c r="I128" s="661"/>
      <c r="J128" s="661"/>
      <c r="K128" s="661"/>
      <c r="L128" s="481"/>
    </row>
    <row r="129" spans="1:12">
      <c r="A129" s="426"/>
      <c r="B129" s="467"/>
      <c r="C129" s="467"/>
      <c r="D129" s="467"/>
      <c r="E129" s="467"/>
      <c r="F129" s="467"/>
      <c r="G129" s="467"/>
      <c r="H129" s="467"/>
      <c r="I129" s="467"/>
      <c r="J129" s="467"/>
      <c r="K129" s="467"/>
      <c r="L129" s="481"/>
    </row>
    <row r="130" spans="1:12" ht="74.25" customHeight="1">
      <c r="A130" s="426"/>
      <c r="B130" s="666" t="s">
        <v>632</v>
      </c>
      <c r="C130" s="666"/>
      <c r="D130" s="666"/>
      <c r="E130" s="666"/>
      <c r="F130" s="666"/>
      <c r="G130" s="666"/>
      <c r="H130" s="666"/>
      <c r="I130" s="666"/>
      <c r="J130" s="666"/>
      <c r="K130" s="666"/>
      <c r="L130" s="481"/>
    </row>
    <row r="131" spans="1:12" ht="15" thickBot="1">
      <c r="A131" s="426"/>
      <c r="L131" s="426"/>
    </row>
    <row r="132" spans="1:12">
      <c r="A132" s="426"/>
      <c r="B132" s="434" t="s">
        <v>579</v>
      </c>
      <c r="C132" s="435"/>
      <c r="D132" s="435"/>
      <c r="E132" s="435"/>
      <c r="F132" s="435"/>
      <c r="G132" s="435"/>
      <c r="H132" s="435"/>
      <c r="I132" s="435"/>
      <c r="J132" s="435"/>
      <c r="K132" s="436"/>
      <c r="L132" s="426"/>
    </row>
    <row r="133" spans="1:12">
      <c r="A133" s="426"/>
      <c r="B133" s="447"/>
      <c r="C133" s="683" t="s">
        <v>633</v>
      </c>
      <c r="D133" s="683"/>
      <c r="E133" s="438"/>
      <c r="F133" s="439" t="s">
        <v>634</v>
      </c>
      <c r="G133" s="438"/>
      <c r="H133" s="683" t="s">
        <v>619</v>
      </c>
      <c r="I133" s="683"/>
      <c r="J133" s="438"/>
      <c r="K133" s="441"/>
      <c r="L133" s="426"/>
    </row>
    <row r="134" spans="1:12">
      <c r="A134" s="426"/>
      <c r="B134" s="447" t="s">
        <v>612</v>
      </c>
      <c r="C134" s="660">
        <v>100000</v>
      </c>
      <c r="D134" s="660"/>
      <c r="E134" s="439" t="s">
        <v>28</v>
      </c>
      <c r="F134" s="439">
        <v>0.115</v>
      </c>
      <c r="G134" s="439" t="s">
        <v>585</v>
      </c>
      <c r="H134" s="681">
        <f>C134*F134</f>
        <v>11500</v>
      </c>
      <c r="I134" s="681"/>
      <c r="J134" s="438"/>
      <c r="K134" s="441"/>
      <c r="L134" s="426"/>
    </row>
    <row r="135" spans="1:12">
      <c r="A135" s="426"/>
      <c r="B135" s="447"/>
      <c r="C135" s="438"/>
      <c r="D135" s="438"/>
      <c r="E135" s="438"/>
      <c r="F135" s="438"/>
      <c r="G135" s="438"/>
      <c r="H135" s="438"/>
      <c r="I135" s="438"/>
      <c r="J135" s="438"/>
      <c r="K135" s="441"/>
      <c r="L135" s="426"/>
    </row>
    <row r="136" spans="1:12">
      <c r="A136" s="426"/>
      <c r="B136" s="457"/>
      <c r="C136" s="684" t="s">
        <v>619</v>
      </c>
      <c r="D136" s="684"/>
      <c r="E136" s="458"/>
      <c r="F136" s="459" t="s">
        <v>635</v>
      </c>
      <c r="G136" s="459"/>
      <c r="H136" s="458"/>
      <c r="I136" s="458"/>
      <c r="J136" s="458" t="s">
        <v>636</v>
      </c>
      <c r="K136" s="460"/>
      <c r="L136" s="426"/>
    </row>
    <row r="137" spans="1:12">
      <c r="A137" s="426"/>
      <c r="B137" s="447" t="s">
        <v>615</v>
      </c>
      <c r="C137" s="681">
        <f>H134</f>
        <v>11500</v>
      </c>
      <c r="D137" s="681"/>
      <c r="E137" s="439" t="s">
        <v>28</v>
      </c>
      <c r="F137" s="482">
        <v>52.869</v>
      </c>
      <c r="G137" s="439" t="s">
        <v>586</v>
      </c>
      <c r="H137" s="439">
        <v>1000</v>
      </c>
      <c r="I137" s="439" t="s">
        <v>585</v>
      </c>
      <c r="J137" s="483">
        <f>C137*F137/H137</f>
        <v>607.99350000000004</v>
      </c>
      <c r="K137" s="441"/>
      <c r="L137" s="426"/>
    </row>
    <row r="138" spans="1:12" ht="15" thickBot="1">
      <c r="A138" s="426"/>
      <c r="B138" s="442"/>
      <c r="C138" s="484"/>
      <c r="D138" s="484"/>
      <c r="E138" s="463"/>
      <c r="F138" s="485"/>
      <c r="G138" s="463"/>
      <c r="H138" s="463"/>
      <c r="I138" s="463"/>
      <c r="J138" s="486"/>
      <c r="K138" s="444"/>
      <c r="L138" s="426"/>
    </row>
    <row r="139" spans="1:12" ht="40.5" customHeight="1">
      <c r="A139" s="426"/>
      <c r="B139" s="487" t="s">
        <v>575</v>
      </c>
      <c r="C139" s="488"/>
      <c r="D139" s="488"/>
      <c r="E139" s="489"/>
      <c r="F139" s="490"/>
      <c r="G139" s="489"/>
      <c r="H139" s="489"/>
      <c r="I139" s="489"/>
      <c r="J139" s="491"/>
      <c r="K139" s="492"/>
      <c r="L139" s="426"/>
    </row>
    <row r="140" spans="1:12">
      <c r="A140" s="426"/>
      <c r="B140" s="493" t="s">
        <v>637</v>
      </c>
      <c r="C140" s="494"/>
      <c r="D140" s="494"/>
      <c r="E140" s="495"/>
      <c r="F140" s="496"/>
      <c r="G140" s="495"/>
      <c r="H140" s="495"/>
      <c r="I140" s="495"/>
      <c r="J140" s="497"/>
      <c r="K140" s="498"/>
      <c r="L140" s="426"/>
    </row>
    <row r="141" spans="1:12">
      <c r="A141" s="426"/>
      <c r="B141" s="447"/>
      <c r="C141" s="456"/>
      <c r="D141" s="456"/>
      <c r="E141" s="439"/>
      <c r="F141" s="499"/>
      <c r="G141" s="439"/>
      <c r="H141" s="439"/>
      <c r="I141" s="439"/>
      <c r="J141" s="483"/>
      <c r="K141" s="441"/>
      <c r="L141" s="426"/>
    </row>
    <row r="142" spans="1:12">
      <c r="A142" s="426"/>
      <c r="B142" s="493" t="s">
        <v>638</v>
      </c>
      <c r="C142" s="494"/>
      <c r="D142" s="494"/>
      <c r="E142" s="495"/>
      <c r="F142" s="496"/>
      <c r="G142" s="495"/>
      <c r="H142" s="495"/>
      <c r="I142" s="495"/>
      <c r="J142" s="497"/>
      <c r="K142" s="498"/>
      <c r="L142" s="426"/>
    </row>
    <row r="143" spans="1:12">
      <c r="A143" s="426"/>
      <c r="B143" s="447"/>
      <c r="C143" s="456"/>
      <c r="D143" s="456"/>
      <c r="E143" s="439"/>
      <c r="F143" s="499"/>
      <c r="G143" s="439"/>
      <c r="H143" s="439"/>
      <c r="I143" s="439"/>
      <c r="J143" s="483"/>
      <c r="K143" s="441"/>
      <c r="L143" s="426"/>
    </row>
    <row r="144" spans="1:12" ht="76.5" customHeight="1">
      <c r="A144" s="426"/>
      <c r="B144" s="685" t="s">
        <v>639</v>
      </c>
      <c r="C144" s="686"/>
      <c r="D144" s="686"/>
      <c r="E144" s="686"/>
      <c r="F144" s="686"/>
      <c r="G144" s="686"/>
      <c r="H144" s="686"/>
      <c r="I144" s="686"/>
      <c r="J144" s="686"/>
      <c r="K144" s="687"/>
      <c r="L144" s="426"/>
    </row>
    <row r="145" spans="1:12" ht="15" thickBot="1">
      <c r="A145" s="426"/>
      <c r="B145" s="447"/>
      <c r="C145" s="456"/>
      <c r="D145" s="456"/>
      <c r="E145" s="439"/>
      <c r="F145" s="499"/>
      <c r="G145" s="439"/>
      <c r="H145" s="439"/>
      <c r="I145" s="439"/>
      <c r="J145" s="483"/>
      <c r="K145" s="441"/>
      <c r="L145" s="426"/>
    </row>
    <row r="146" spans="1:12">
      <c r="A146" s="426"/>
      <c r="B146" s="434" t="s">
        <v>579</v>
      </c>
      <c r="C146" s="500"/>
      <c r="D146" s="500"/>
      <c r="E146" s="501"/>
      <c r="F146" s="502"/>
      <c r="G146" s="501"/>
      <c r="H146" s="501"/>
      <c r="I146" s="501"/>
      <c r="J146" s="503"/>
      <c r="K146" s="436"/>
      <c r="L146" s="426"/>
    </row>
    <row r="147" spans="1:12">
      <c r="A147" s="426"/>
      <c r="B147" s="447"/>
      <c r="C147" s="681" t="s">
        <v>640</v>
      </c>
      <c r="D147" s="681"/>
      <c r="E147" s="439"/>
      <c r="F147" s="499" t="s">
        <v>641</v>
      </c>
      <c r="G147" s="439"/>
      <c r="H147" s="439"/>
      <c r="I147" s="439"/>
      <c r="J147" s="688" t="s">
        <v>642</v>
      </c>
      <c r="K147" s="689"/>
      <c r="L147" s="426"/>
    </row>
    <row r="148" spans="1:12">
      <c r="A148" s="426"/>
      <c r="B148" s="447"/>
      <c r="C148" s="680">
        <v>52.869</v>
      </c>
      <c r="D148" s="680"/>
      <c r="E148" s="439" t="s">
        <v>28</v>
      </c>
      <c r="F148" s="504">
        <v>133685008</v>
      </c>
      <c r="G148" s="505" t="s">
        <v>586</v>
      </c>
      <c r="H148" s="439">
        <v>1000</v>
      </c>
      <c r="I148" s="439" t="s">
        <v>585</v>
      </c>
      <c r="J148" s="681">
        <f>C148*(F148/1000)</f>
        <v>7067792.6879519997</v>
      </c>
      <c r="K148" s="682"/>
      <c r="L148" s="426"/>
    </row>
    <row r="149" spans="1:12" ht="15" thickBot="1">
      <c r="A149" s="426"/>
      <c r="B149" s="442"/>
      <c r="C149" s="484"/>
      <c r="D149" s="484"/>
      <c r="E149" s="463"/>
      <c r="F149" s="485"/>
      <c r="G149" s="463"/>
      <c r="H149" s="463"/>
      <c r="I149" s="463"/>
      <c r="J149" s="486"/>
      <c r="K149" s="444"/>
      <c r="L149" s="426"/>
    </row>
    <row r="150" spans="1:12" ht="15" thickBot="1">
      <c r="A150" s="426"/>
      <c r="B150" s="442"/>
      <c r="C150" s="443"/>
      <c r="D150" s="443"/>
      <c r="E150" s="443"/>
      <c r="F150" s="443"/>
      <c r="G150" s="443"/>
      <c r="H150" s="443"/>
      <c r="I150" s="443"/>
      <c r="J150" s="443"/>
      <c r="K150" s="444"/>
      <c r="L150" s="426"/>
    </row>
    <row r="151" spans="1:12">
      <c r="A151" s="426"/>
      <c r="B151" s="426"/>
      <c r="C151" s="426"/>
      <c r="D151" s="426"/>
      <c r="E151" s="426"/>
      <c r="F151" s="426"/>
      <c r="G151" s="426"/>
      <c r="H151" s="426"/>
      <c r="I151" s="426"/>
      <c r="J151" s="426"/>
      <c r="K151" s="426"/>
      <c r="L151" s="426"/>
    </row>
    <row r="152" spans="1:12">
      <c r="A152" s="426"/>
      <c r="B152" s="426"/>
      <c r="C152" s="426"/>
      <c r="D152" s="426"/>
      <c r="E152" s="426"/>
      <c r="F152" s="426"/>
      <c r="G152" s="426"/>
      <c r="H152" s="426"/>
      <c r="I152" s="426"/>
      <c r="J152" s="426"/>
      <c r="K152" s="426"/>
      <c r="L152" s="426"/>
    </row>
    <row r="153" spans="1:12">
      <c r="A153" s="426"/>
      <c r="B153" s="426"/>
      <c r="C153" s="426"/>
      <c r="D153" s="426"/>
      <c r="E153" s="426"/>
      <c r="F153" s="426"/>
      <c r="G153" s="426"/>
      <c r="H153" s="426"/>
      <c r="I153" s="426"/>
      <c r="J153" s="426"/>
      <c r="K153" s="426"/>
      <c r="L153" s="426"/>
    </row>
    <row r="154" spans="1:12">
      <c r="A154" s="506"/>
      <c r="B154" s="506"/>
      <c r="C154" s="506"/>
      <c r="D154" s="506"/>
      <c r="E154" s="506"/>
      <c r="F154" s="506"/>
      <c r="G154" s="506"/>
      <c r="H154" s="506"/>
      <c r="I154" s="506"/>
      <c r="J154" s="506"/>
      <c r="K154" s="506"/>
      <c r="L154" s="506"/>
    </row>
    <row r="155" spans="1:12">
      <c r="A155" s="506"/>
      <c r="B155" s="506"/>
      <c r="C155" s="506"/>
      <c r="D155" s="506"/>
      <c r="E155" s="506"/>
      <c r="F155" s="506"/>
      <c r="G155" s="506"/>
      <c r="H155" s="506"/>
      <c r="I155" s="506"/>
      <c r="J155" s="506"/>
      <c r="K155" s="506"/>
      <c r="L155" s="506"/>
    </row>
    <row r="156" spans="1:12">
      <c r="A156" s="506"/>
      <c r="B156" s="506"/>
      <c r="C156" s="506"/>
      <c r="D156" s="506"/>
      <c r="E156" s="506"/>
      <c r="F156" s="506"/>
      <c r="G156" s="506"/>
      <c r="H156" s="506"/>
      <c r="I156" s="506"/>
      <c r="J156" s="506"/>
      <c r="K156" s="506"/>
      <c r="L156" s="506"/>
    </row>
    <row r="157" spans="1:12">
      <c r="A157" s="506"/>
      <c r="B157" s="506"/>
      <c r="C157" s="506"/>
      <c r="D157" s="506"/>
      <c r="E157" s="506"/>
      <c r="F157" s="506"/>
      <c r="G157" s="506"/>
      <c r="H157" s="506"/>
      <c r="I157" s="506"/>
      <c r="J157" s="506"/>
      <c r="K157" s="506"/>
      <c r="L157" s="506"/>
    </row>
    <row r="158" spans="1:12">
      <c r="A158" s="506"/>
      <c r="B158" s="506"/>
      <c r="C158" s="506"/>
      <c r="D158" s="506"/>
      <c r="E158" s="506"/>
      <c r="F158" s="506"/>
      <c r="G158" s="506"/>
      <c r="H158" s="506"/>
      <c r="I158" s="506"/>
      <c r="J158" s="506"/>
      <c r="K158" s="506"/>
      <c r="L158" s="506"/>
    </row>
    <row r="159" spans="1:12">
      <c r="A159" s="506"/>
      <c r="B159" s="506"/>
      <c r="C159" s="506"/>
      <c r="D159" s="506"/>
      <c r="E159" s="506"/>
      <c r="F159" s="506"/>
      <c r="G159" s="506"/>
      <c r="H159" s="506"/>
      <c r="I159" s="506"/>
      <c r="J159" s="506"/>
      <c r="K159" s="506"/>
      <c r="L159" s="506"/>
    </row>
    <row r="160" spans="1:12">
      <c r="A160" s="506"/>
      <c r="B160" s="506"/>
      <c r="C160" s="506"/>
      <c r="D160" s="506"/>
      <c r="E160" s="506"/>
      <c r="F160" s="506"/>
      <c r="G160" s="506"/>
      <c r="H160" s="506"/>
      <c r="I160" s="506"/>
      <c r="J160" s="506"/>
      <c r="K160" s="506"/>
      <c r="L160" s="506"/>
    </row>
    <row r="161" spans="1:12">
      <c r="A161" s="506"/>
      <c r="B161" s="506"/>
      <c r="C161" s="506"/>
      <c r="D161" s="506"/>
      <c r="E161" s="506"/>
      <c r="F161" s="506"/>
      <c r="G161" s="506"/>
      <c r="H161" s="506"/>
      <c r="I161" s="506"/>
      <c r="J161" s="506"/>
      <c r="K161" s="506"/>
      <c r="L161" s="506"/>
    </row>
    <row r="162" spans="1:12">
      <c r="A162" s="506"/>
      <c r="B162" s="506"/>
      <c r="C162" s="506"/>
      <c r="D162" s="506"/>
      <c r="E162" s="506"/>
      <c r="F162" s="506"/>
      <c r="G162" s="506"/>
      <c r="H162" s="506"/>
      <c r="I162" s="506"/>
      <c r="J162" s="506"/>
      <c r="K162" s="506"/>
      <c r="L162" s="506"/>
    </row>
    <row r="163" spans="1:12">
      <c r="A163" s="506"/>
      <c r="B163" s="506"/>
      <c r="C163" s="506"/>
      <c r="D163" s="506"/>
      <c r="E163" s="506"/>
      <c r="F163" s="506"/>
      <c r="G163" s="506"/>
      <c r="H163" s="506"/>
      <c r="I163" s="506"/>
      <c r="J163" s="506"/>
      <c r="K163" s="506"/>
      <c r="L163" s="506"/>
    </row>
    <row r="164" spans="1:12">
      <c r="A164" s="506"/>
      <c r="B164" s="506"/>
      <c r="C164" s="506"/>
      <c r="D164" s="506"/>
      <c r="E164" s="506"/>
      <c r="F164" s="506"/>
      <c r="G164" s="506"/>
      <c r="H164" s="506"/>
      <c r="I164" s="506"/>
      <c r="J164" s="506"/>
      <c r="K164" s="506"/>
      <c r="L164" s="506"/>
    </row>
    <row r="165" spans="1:12">
      <c r="A165" s="506"/>
      <c r="B165" s="506"/>
      <c r="C165" s="506"/>
      <c r="D165" s="506"/>
      <c r="E165" s="506"/>
      <c r="F165" s="506"/>
      <c r="G165" s="506"/>
      <c r="H165" s="506"/>
      <c r="I165" s="506"/>
      <c r="J165" s="506"/>
      <c r="K165" s="506"/>
      <c r="L165" s="506"/>
    </row>
    <row r="166" spans="1:12">
      <c r="A166" s="506"/>
      <c r="B166" s="506"/>
      <c r="C166" s="506"/>
      <c r="D166" s="506"/>
      <c r="E166" s="506"/>
      <c r="F166" s="506"/>
      <c r="G166" s="506"/>
      <c r="H166" s="506"/>
      <c r="I166" s="506"/>
      <c r="J166" s="506"/>
      <c r="K166" s="506"/>
      <c r="L166" s="506"/>
    </row>
    <row r="167" spans="1:12">
      <c r="A167" s="506"/>
      <c r="B167" s="506"/>
      <c r="C167" s="506"/>
      <c r="D167" s="506"/>
      <c r="E167" s="506"/>
      <c r="F167" s="506"/>
      <c r="G167" s="506"/>
      <c r="H167" s="506"/>
      <c r="I167" s="506"/>
      <c r="J167" s="506"/>
      <c r="K167" s="506"/>
      <c r="L167" s="506"/>
    </row>
    <row r="168" spans="1:12">
      <c r="A168" s="506"/>
      <c r="B168" s="506"/>
      <c r="C168" s="506"/>
      <c r="D168" s="506"/>
      <c r="E168" s="506"/>
      <c r="F168" s="506"/>
      <c r="G168" s="506"/>
      <c r="H168" s="506"/>
      <c r="I168" s="506"/>
      <c r="J168" s="506"/>
      <c r="K168" s="506"/>
      <c r="L168" s="506"/>
    </row>
    <row r="169" spans="1:12">
      <c r="A169" s="506"/>
      <c r="B169" s="506"/>
      <c r="C169" s="506"/>
      <c r="D169" s="506"/>
      <c r="E169" s="506"/>
      <c r="F169" s="506"/>
      <c r="G169" s="506"/>
      <c r="H169" s="506"/>
      <c r="I169" s="506"/>
      <c r="J169" s="506"/>
      <c r="K169" s="506"/>
      <c r="L169" s="506"/>
    </row>
    <row r="170" spans="1:12">
      <c r="A170" s="506"/>
      <c r="B170" s="506"/>
      <c r="C170" s="506"/>
      <c r="D170" s="506"/>
      <c r="E170" s="506"/>
      <c r="F170" s="506"/>
      <c r="G170" s="506"/>
      <c r="H170" s="506"/>
      <c r="I170" s="506"/>
      <c r="J170" s="506"/>
      <c r="K170" s="506"/>
      <c r="L170" s="506"/>
    </row>
    <row r="171" spans="1:12">
      <c r="A171" s="506"/>
      <c r="B171" s="506"/>
      <c r="C171" s="506"/>
      <c r="D171" s="506"/>
      <c r="E171" s="506"/>
      <c r="F171" s="506"/>
      <c r="G171" s="506"/>
      <c r="H171" s="506"/>
      <c r="I171" s="506"/>
      <c r="J171" s="506"/>
      <c r="K171" s="506"/>
      <c r="L171" s="506"/>
    </row>
    <row r="172" spans="1:12">
      <c r="A172" s="506"/>
      <c r="B172" s="506"/>
      <c r="C172" s="506"/>
      <c r="D172" s="506"/>
      <c r="E172" s="506"/>
      <c r="F172" s="506"/>
      <c r="G172" s="506"/>
      <c r="H172" s="506"/>
      <c r="I172" s="506"/>
      <c r="J172" s="506"/>
      <c r="K172" s="506"/>
      <c r="L172" s="506"/>
    </row>
    <row r="173" spans="1:12">
      <c r="A173" s="506"/>
      <c r="B173" s="506"/>
      <c r="C173" s="506"/>
      <c r="D173" s="506"/>
      <c r="E173" s="506"/>
      <c r="F173" s="506"/>
      <c r="G173" s="506"/>
      <c r="H173" s="506"/>
      <c r="I173" s="506"/>
      <c r="J173" s="506"/>
      <c r="K173" s="506"/>
      <c r="L173" s="506"/>
    </row>
    <row r="174" spans="1:12">
      <c r="A174" s="506"/>
      <c r="B174" s="506"/>
      <c r="C174" s="506"/>
      <c r="D174" s="506"/>
      <c r="E174" s="506"/>
      <c r="F174" s="506"/>
      <c r="G174" s="506"/>
      <c r="H174" s="506"/>
      <c r="I174" s="506"/>
      <c r="J174" s="506"/>
      <c r="K174" s="506"/>
      <c r="L174" s="506"/>
    </row>
    <row r="175" spans="1:12">
      <c r="A175" s="506"/>
      <c r="B175" s="506"/>
      <c r="C175" s="506"/>
      <c r="D175" s="506"/>
      <c r="E175" s="506"/>
      <c r="F175" s="506"/>
      <c r="G175" s="506"/>
      <c r="H175" s="506"/>
      <c r="I175" s="506"/>
      <c r="J175" s="506"/>
      <c r="K175" s="506"/>
      <c r="L175" s="506"/>
    </row>
    <row r="176" spans="1:12">
      <c r="A176" s="506"/>
      <c r="B176" s="506"/>
      <c r="C176" s="506"/>
      <c r="D176" s="506"/>
      <c r="E176" s="506"/>
      <c r="F176" s="506"/>
      <c r="G176" s="506"/>
      <c r="H176" s="506"/>
      <c r="I176" s="506"/>
      <c r="J176" s="506"/>
      <c r="K176" s="506"/>
      <c r="L176" s="506"/>
    </row>
    <row r="177" spans="1:12">
      <c r="A177" s="506"/>
      <c r="B177" s="506"/>
      <c r="C177" s="506"/>
      <c r="D177" s="506"/>
      <c r="E177" s="506"/>
      <c r="F177" s="506"/>
      <c r="G177" s="506"/>
      <c r="H177" s="506"/>
      <c r="I177" s="506"/>
      <c r="J177" s="506"/>
      <c r="K177" s="506"/>
      <c r="L177" s="506"/>
    </row>
    <row r="178" spans="1:12">
      <c r="A178" s="506"/>
      <c r="B178" s="506"/>
      <c r="C178" s="506"/>
      <c r="D178" s="506"/>
      <c r="E178" s="506"/>
      <c r="F178" s="506"/>
      <c r="G178" s="506"/>
      <c r="H178" s="506"/>
      <c r="I178" s="506"/>
      <c r="J178" s="506"/>
      <c r="K178" s="506"/>
      <c r="L178" s="506"/>
    </row>
    <row r="179" spans="1:12">
      <c r="A179" s="506"/>
      <c r="B179" s="506"/>
      <c r="C179" s="506"/>
      <c r="D179" s="506"/>
      <c r="E179" s="506"/>
      <c r="F179" s="506"/>
      <c r="G179" s="506"/>
      <c r="H179" s="506"/>
      <c r="I179" s="506"/>
      <c r="J179" s="506"/>
      <c r="K179" s="506"/>
      <c r="L179" s="506"/>
    </row>
    <row r="180" spans="1:12">
      <c r="A180" s="506"/>
      <c r="B180" s="506"/>
      <c r="C180" s="506"/>
      <c r="D180" s="506"/>
      <c r="E180" s="506"/>
      <c r="F180" s="506"/>
      <c r="G180" s="506"/>
      <c r="H180" s="506"/>
      <c r="I180" s="506"/>
      <c r="J180" s="506"/>
      <c r="K180" s="506"/>
      <c r="L180" s="506"/>
    </row>
    <row r="181" spans="1:12">
      <c r="A181" s="506"/>
      <c r="B181" s="506"/>
      <c r="C181" s="506"/>
      <c r="D181" s="506"/>
      <c r="E181" s="506"/>
      <c r="F181" s="506"/>
      <c r="G181" s="506"/>
      <c r="H181" s="506"/>
      <c r="I181" s="506"/>
      <c r="J181" s="506"/>
      <c r="K181" s="506"/>
      <c r="L181" s="506"/>
    </row>
    <row r="182" spans="1:12">
      <c r="A182" s="506"/>
      <c r="B182" s="506"/>
      <c r="C182" s="506"/>
      <c r="D182" s="506"/>
      <c r="E182" s="506"/>
      <c r="F182" s="506"/>
      <c r="G182" s="506"/>
      <c r="H182" s="506"/>
      <c r="I182" s="506"/>
      <c r="J182" s="506"/>
      <c r="K182" s="506"/>
      <c r="L182" s="506"/>
    </row>
    <row r="183" spans="1:12">
      <c r="A183" s="506"/>
      <c r="B183" s="506"/>
      <c r="C183" s="506"/>
      <c r="D183" s="506"/>
      <c r="E183" s="506"/>
      <c r="F183" s="506"/>
      <c r="G183" s="506"/>
      <c r="H183" s="506"/>
      <c r="I183" s="506"/>
      <c r="J183" s="506"/>
      <c r="K183" s="506"/>
      <c r="L183" s="506"/>
    </row>
    <row r="184" spans="1:12">
      <c r="A184" s="506"/>
      <c r="B184" s="506"/>
      <c r="C184" s="506"/>
      <c r="D184" s="506"/>
      <c r="E184" s="506"/>
      <c r="F184" s="506"/>
      <c r="G184" s="506"/>
      <c r="H184" s="506"/>
      <c r="I184" s="506"/>
      <c r="J184" s="506"/>
      <c r="K184" s="506"/>
      <c r="L184" s="506"/>
    </row>
    <row r="185" spans="1:12">
      <c r="A185" s="506"/>
      <c r="B185" s="506"/>
      <c r="C185" s="506"/>
      <c r="D185" s="506"/>
      <c r="E185" s="506"/>
      <c r="F185" s="506"/>
      <c r="G185" s="506"/>
      <c r="H185" s="506"/>
      <c r="I185" s="506"/>
      <c r="J185" s="506"/>
      <c r="K185" s="506"/>
      <c r="L185" s="506"/>
    </row>
    <row r="186" spans="1:12">
      <c r="A186" s="506"/>
      <c r="B186" s="506"/>
      <c r="C186" s="506"/>
      <c r="D186" s="506"/>
      <c r="E186" s="506"/>
      <c r="F186" s="506"/>
      <c r="G186" s="506"/>
      <c r="H186" s="506"/>
      <c r="I186" s="506"/>
      <c r="J186" s="506"/>
      <c r="K186" s="506"/>
      <c r="L186" s="506"/>
    </row>
    <row r="187" spans="1:12">
      <c r="A187" s="506"/>
      <c r="B187" s="506"/>
      <c r="C187" s="506"/>
      <c r="D187" s="506"/>
      <c r="E187" s="506"/>
      <c r="F187" s="506"/>
      <c r="G187" s="506"/>
      <c r="H187" s="506"/>
      <c r="I187" s="506"/>
      <c r="J187" s="506"/>
      <c r="K187" s="506"/>
      <c r="L187" s="506"/>
    </row>
    <row r="188" spans="1:12">
      <c r="A188" s="506"/>
      <c r="B188" s="506"/>
      <c r="C188" s="506"/>
      <c r="D188" s="506"/>
      <c r="E188" s="506"/>
      <c r="F188" s="506"/>
      <c r="G188" s="506"/>
      <c r="H188" s="506"/>
      <c r="I188" s="506"/>
      <c r="J188" s="506"/>
      <c r="K188" s="506"/>
      <c r="L188" s="506"/>
    </row>
    <row r="189" spans="1:12">
      <c r="A189" s="506"/>
      <c r="B189" s="506"/>
      <c r="C189" s="506"/>
      <c r="D189" s="506"/>
      <c r="E189" s="506"/>
      <c r="F189" s="506"/>
      <c r="G189" s="506"/>
      <c r="H189" s="506"/>
      <c r="I189" s="506"/>
      <c r="J189" s="506"/>
      <c r="K189" s="506"/>
      <c r="L189" s="506"/>
    </row>
    <row r="190" spans="1:12">
      <c r="A190" s="506"/>
      <c r="B190" s="506"/>
      <c r="C190" s="506"/>
      <c r="D190" s="506"/>
      <c r="E190" s="506"/>
      <c r="F190" s="506"/>
      <c r="G190" s="506"/>
      <c r="H190" s="506"/>
      <c r="I190" s="506"/>
      <c r="J190" s="506"/>
      <c r="K190" s="506"/>
      <c r="L190" s="506"/>
    </row>
    <row r="191" spans="1:12">
      <c r="A191" s="506"/>
      <c r="B191" s="506"/>
      <c r="C191" s="506"/>
      <c r="D191" s="506"/>
      <c r="E191" s="506"/>
      <c r="F191" s="506"/>
      <c r="G191" s="506"/>
      <c r="H191" s="506"/>
      <c r="I191" s="506"/>
      <c r="J191" s="506"/>
      <c r="K191" s="506"/>
      <c r="L191" s="506"/>
    </row>
    <row r="192" spans="1:12">
      <c r="A192" s="506"/>
      <c r="B192" s="506"/>
      <c r="C192" s="506"/>
      <c r="D192" s="506"/>
      <c r="E192" s="506"/>
      <c r="F192" s="506"/>
      <c r="G192" s="506"/>
      <c r="H192" s="506"/>
      <c r="I192" s="506"/>
      <c r="J192" s="506"/>
      <c r="K192" s="506"/>
      <c r="L192" s="506"/>
    </row>
    <row r="193" spans="1:12">
      <c r="A193" s="506"/>
      <c r="B193" s="506"/>
      <c r="C193" s="506"/>
      <c r="D193" s="506"/>
      <c r="E193" s="506"/>
      <c r="F193" s="506"/>
      <c r="G193" s="506"/>
      <c r="H193" s="506"/>
      <c r="I193" s="506"/>
      <c r="J193" s="506"/>
      <c r="K193" s="506"/>
      <c r="L193" s="506"/>
    </row>
    <row r="194" spans="1:12">
      <c r="A194" s="506"/>
      <c r="B194" s="506"/>
      <c r="C194" s="506"/>
      <c r="D194" s="506"/>
      <c r="E194" s="506"/>
      <c r="F194" s="506"/>
      <c r="G194" s="506"/>
      <c r="H194" s="506"/>
      <c r="I194" s="506"/>
      <c r="J194" s="506"/>
      <c r="K194" s="506"/>
      <c r="L194" s="506"/>
    </row>
    <row r="195" spans="1:12">
      <c r="A195" s="506"/>
      <c r="B195" s="506"/>
      <c r="C195" s="506"/>
      <c r="D195" s="506"/>
      <c r="E195" s="506"/>
      <c r="F195" s="506"/>
      <c r="G195" s="506"/>
      <c r="H195" s="506"/>
      <c r="I195" s="506"/>
      <c r="J195" s="506"/>
      <c r="K195" s="506"/>
      <c r="L195" s="506"/>
    </row>
    <row r="196" spans="1:12">
      <c r="A196" s="506"/>
      <c r="B196" s="506"/>
      <c r="C196" s="506"/>
      <c r="D196" s="506"/>
      <c r="E196" s="506"/>
      <c r="F196" s="506"/>
      <c r="G196" s="506"/>
      <c r="H196" s="506"/>
      <c r="I196" s="506"/>
      <c r="J196" s="506"/>
      <c r="K196" s="506"/>
      <c r="L196" s="506"/>
    </row>
    <row r="197" spans="1:12">
      <c r="A197" s="506"/>
      <c r="B197" s="506"/>
      <c r="C197" s="506"/>
      <c r="D197" s="506"/>
      <c r="E197" s="506"/>
      <c r="F197" s="506"/>
      <c r="G197" s="506"/>
      <c r="H197" s="506"/>
      <c r="I197" s="506"/>
      <c r="J197" s="506"/>
      <c r="K197" s="506"/>
      <c r="L197" s="506"/>
    </row>
    <row r="198" spans="1:12">
      <c r="A198" s="506"/>
      <c r="B198" s="506"/>
      <c r="C198" s="506"/>
      <c r="D198" s="506"/>
      <c r="E198" s="506"/>
      <c r="F198" s="506"/>
      <c r="G198" s="506"/>
      <c r="H198" s="506"/>
      <c r="I198" s="506"/>
      <c r="J198" s="506"/>
      <c r="K198" s="506"/>
      <c r="L198" s="506"/>
    </row>
    <row r="199" spans="1:12">
      <c r="A199" s="506"/>
      <c r="B199" s="506"/>
      <c r="C199" s="506"/>
      <c r="D199" s="506"/>
      <c r="E199" s="506"/>
      <c r="F199" s="506"/>
      <c r="G199" s="506"/>
      <c r="H199" s="506"/>
      <c r="I199" s="506"/>
      <c r="J199" s="506"/>
      <c r="K199" s="506"/>
      <c r="L199" s="506"/>
    </row>
    <row r="200" spans="1:12">
      <c r="A200" s="506"/>
      <c r="B200" s="506"/>
      <c r="C200" s="506"/>
      <c r="D200" s="506"/>
      <c r="E200" s="506"/>
      <c r="F200" s="506"/>
      <c r="G200" s="506"/>
      <c r="H200" s="506"/>
      <c r="I200" s="506"/>
      <c r="J200" s="506"/>
      <c r="K200" s="506"/>
      <c r="L200" s="506"/>
    </row>
    <row r="201" spans="1:12">
      <c r="A201" s="506"/>
      <c r="B201" s="506"/>
      <c r="C201" s="506"/>
      <c r="D201" s="506"/>
      <c r="E201" s="506"/>
      <c r="F201" s="506"/>
      <c r="G201" s="506"/>
      <c r="H201" s="506"/>
      <c r="I201" s="506"/>
      <c r="J201" s="506"/>
      <c r="K201" s="506"/>
      <c r="L201" s="506"/>
    </row>
    <row r="202" spans="1:12">
      <c r="A202" s="506"/>
      <c r="B202" s="506"/>
      <c r="C202" s="506"/>
      <c r="D202" s="506"/>
      <c r="E202" s="506"/>
      <c r="F202" s="506"/>
      <c r="G202" s="506"/>
      <c r="H202" s="506"/>
      <c r="I202" s="506"/>
      <c r="J202" s="506"/>
      <c r="K202" s="506"/>
      <c r="L202" s="506"/>
    </row>
    <row r="203" spans="1:12">
      <c r="A203" s="506"/>
      <c r="B203" s="506"/>
      <c r="C203" s="506"/>
      <c r="D203" s="506"/>
      <c r="E203" s="506"/>
      <c r="F203" s="506"/>
      <c r="G203" s="506"/>
      <c r="H203" s="506"/>
      <c r="I203" s="506"/>
      <c r="J203" s="506"/>
      <c r="K203" s="506"/>
      <c r="L203" s="506"/>
    </row>
    <row r="204" spans="1:12">
      <c r="A204" s="506"/>
      <c r="B204" s="506"/>
      <c r="C204" s="506"/>
      <c r="D204" s="506"/>
      <c r="E204" s="506"/>
      <c r="F204" s="506"/>
      <c r="G204" s="506"/>
      <c r="H204" s="506"/>
      <c r="I204" s="506"/>
      <c r="J204" s="506"/>
      <c r="K204" s="506"/>
      <c r="L204" s="506"/>
    </row>
    <row r="205" spans="1:12">
      <c r="A205" s="506"/>
      <c r="B205" s="506"/>
      <c r="C205" s="506"/>
      <c r="D205" s="506"/>
      <c r="E205" s="506"/>
      <c r="F205" s="506"/>
      <c r="G205" s="506"/>
      <c r="H205" s="506"/>
      <c r="I205" s="506"/>
      <c r="J205" s="506"/>
      <c r="K205" s="506"/>
      <c r="L205" s="506"/>
    </row>
    <row r="206" spans="1:12">
      <c r="A206" s="506"/>
      <c r="B206" s="506"/>
      <c r="C206" s="506"/>
      <c r="D206" s="506"/>
      <c r="E206" s="506"/>
      <c r="F206" s="506"/>
      <c r="G206" s="506"/>
      <c r="H206" s="506"/>
      <c r="I206" s="506"/>
      <c r="J206" s="506"/>
      <c r="K206" s="506"/>
      <c r="L206" s="506"/>
    </row>
    <row r="207" spans="1:12">
      <c r="A207" s="506"/>
      <c r="B207" s="506"/>
      <c r="C207" s="506"/>
      <c r="D207" s="506"/>
      <c r="E207" s="506"/>
      <c r="F207" s="506"/>
      <c r="G207" s="506"/>
      <c r="H207" s="506"/>
      <c r="I207" s="506"/>
      <c r="J207" s="506"/>
      <c r="K207" s="506"/>
      <c r="L207" s="506"/>
    </row>
    <row r="208" spans="1:12">
      <c r="A208" s="506"/>
      <c r="B208" s="506"/>
      <c r="C208" s="506"/>
      <c r="D208" s="506"/>
      <c r="E208" s="506"/>
      <c r="F208" s="506"/>
      <c r="G208" s="506"/>
      <c r="H208" s="506"/>
      <c r="I208" s="506"/>
      <c r="J208" s="506"/>
      <c r="K208" s="506"/>
      <c r="L208" s="506"/>
    </row>
    <row r="209" spans="1:12">
      <c r="A209" s="506"/>
      <c r="B209" s="506"/>
      <c r="C209" s="506"/>
      <c r="D209" s="506"/>
      <c r="E209" s="506"/>
      <c r="F209" s="506"/>
      <c r="G209" s="506"/>
      <c r="H209" s="506"/>
      <c r="I209" s="506"/>
      <c r="J209" s="506"/>
      <c r="K209" s="506"/>
      <c r="L209" s="506"/>
    </row>
    <row r="210" spans="1:12">
      <c r="A210" s="506"/>
      <c r="B210" s="506"/>
      <c r="C210" s="506"/>
      <c r="D210" s="506"/>
      <c r="E210" s="506"/>
      <c r="F210" s="506"/>
      <c r="G210" s="506"/>
      <c r="H210" s="506"/>
      <c r="I210" s="506"/>
      <c r="J210" s="506"/>
      <c r="K210" s="506"/>
      <c r="L210" s="506"/>
    </row>
    <row r="211" spans="1:12">
      <c r="A211" s="506"/>
      <c r="B211" s="506"/>
      <c r="C211" s="506"/>
      <c r="D211" s="506"/>
      <c r="E211" s="506"/>
      <c r="F211" s="506"/>
      <c r="G211" s="506"/>
      <c r="H211" s="506"/>
      <c r="I211" s="506"/>
      <c r="J211" s="506"/>
      <c r="K211" s="506"/>
      <c r="L211" s="506"/>
    </row>
    <row r="212" spans="1:12">
      <c r="A212" s="506"/>
      <c r="B212" s="506"/>
      <c r="C212" s="506"/>
      <c r="D212" s="506"/>
      <c r="E212" s="506"/>
      <c r="F212" s="506"/>
      <c r="G212" s="506"/>
      <c r="H212" s="506"/>
      <c r="I212" s="506"/>
      <c r="J212" s="506"/>
      <c r="K212" s="506"/>
      <c r="L212" s="506"/>
    </row>
    <row r="213" spans="1:12">
      <c r="A213" s="506"/>
      <c r="B213" s="506"/>
      <c r="C213" s="506"/>
      <c r="D213" s="506"/>
      <c r="E213" s="506"/>
      <c r="F213" s="506"/>
      <c r="G213" s="506"/>
      <c r="H213" s="506"/>
      <c r="I213" s="506"/>
      <c r="J213" s="506"/>
      <c r="K213" s="506"/>
      <c r="L213" s="506"/>
    </row>
    <row r="214" spans="1:12">
      <c r="A214" s="506"/>
      <c r="B214" s="506"/>
      <c r="C214" s="506"/>
      <c r="D214" s="506"/>
      <c r="E214" s="506"/>
      <c r="F214" s="506"/>
      <c r="G214" s="506"/>
      <c r="H214" s="506"/>
      <c r="I214" s="506"/>
      <c r="J214" s="506"/>
      <c r="K214" s="506"/>
      <c r="L214" s="506"/>
    </row>
    <row r="215" spans="1:12">
      <c r="A215" s="506"/>
      <c r="B215" s="506"/>
      <c r="C215" s="506"/>
      <c r="D215" s="506"/>
      <c r="E215" s="506"/>
      <c r="F215" s="506"/>
      <c r="G215" s="506"/>
      <c r="H215" s="506"/>
      <c r="I215" s="506"/>
      <c r="J215" s="506"/>
      <c r="K215" s="506"/>
      <c r="L215" s="506"/>
    </row>
    <row r="216" spans="1:12">
      <c r="A216" s="506"/>
      <c r="B216" s="506"/>
      <c r="C216" s="506"/>
      <c r="D216" s="506"/>
      <c r="E216" s="506"/>
      <c r="F216" s="506"/>
      <c r="G216" s="506"/>
      <c r="H216" s="506"/>
      <c r="I216" s="506"/>
      <c r="J216" s="506"/>
      <c r="K216" s="506"/>
      <c r="L216" s="506"/>
    </row>
    <row r="217" spans="1:12">
      <c r="A217" s="506"/>
      <c r="B217" s="506"/>
      <c r="C217" s="506"/>
      <c r="D217" s="506"/>
      <c r="E217" s="506"/>
      <c r="F217" s="506"/>
      <c r="G217" s="506"/>
      <c r="H217" s="506"/>
      <c r="I217" s="506"/>
      <c r="J217" s="506"/>
      <c r="K217" s="506"/>
      <c r="L217" s="506"/>
    </row>
    <row r="218" spans="1:12">
      <c r="A218" s="506"/>
      <c r="B218" s="506"/>
      <c r="C218" s="506"/>
      <c r="D218" s="506"/>
      <c r="E218" s="506"/>
      <c r="F218" s="506"/>
      <c r="G218" s="506"/>
      <c r="H218" s="506"/>
      <c r="I218" s="506"/>
      <c r="J218" s="506"/>
      <c r="K218" s="506"/>
      <c r="L218" s="506"/>
    </row>
    <row r="219" spans="1:12">
      <c r="A219" s="506"/>
      <c r="B219" s="506"/>
      <c r="C219" s="506"/>
      <c r="D219" s="506"/>
      <c r="E219" s="506"/>
      <c r="F219" s="506"/>
      <c r="G219" s="506"/>
      <c r="H219" s="506"/>
      <c r="I219" s="506"/>
      <c r="J219" s="506"/>
      <c r="K219" s="506"/>
      <c r="L219" s="506"/>
    </row>
    <row r="220" spans="1:12">
      <c r="A220" s="506"/>
      <c r="B220" s="506"/>
      <c r="C220" s="506"/>
      <c r="D220" s="506"/>
      <c r="E220" s="506"/>
      <c r="F220" s="506"/>
      <c r="G220" s="506"/>
      <c r="H220" s="506"/>
      <c r="I220" s="506"/>
      <c r="J220" s="506"/>
      <c r="K220" s="506"/>
      <c r="L220" s="506"/>
    </row>
    <row r="221" spans="1:12">
      <c r="A221" s="506"/>
      <c r="B221" s="506"/>
      <c r="C221" s="506"/>
      <c r="D221" s="506"/>
      <c r="E221" s="506"/>
      <c r="F221" s="506"/>
      <c r="G221" s="506"/>
      <c r="H221" s="506"/>
      <c r="I221" s="506"/>
      <c r="J221" s="506"/>
      <c r="K221" s="506"/>
      <c r="L221" s="506"/>
    </row>
    <row r="222" spans="1:12">
      <c r="A222" s="506"/>
      <c r="B222" s="506"/>
      <c r="C222" s="506"/>
      <c r="D222" s="506"/>
      <c r="E222" s="506"/>
      <c r="F222" s="506"/>
      <c r="G222" s="506"/>
      <c r="H222" s="506"/>
      <c r="I222" s="506"/>
      <c r="J222" s="506"/>
      <c r="K222" s="506"/>
      <c r="L222" s="506"/>
    </row>
    <row r="223" spans="1:12">
      <c r="A223" s="506"/>
      <c r="B223" s="506"/>
      <c r="C223" s="506"/>
      <c r="D223" s="506"/>
      <c r="E223" s="506"/>
      <c r="F223" s="506"/>
      <c r="G223" s="506"/>
      <c r="H223" s="506"/>
      <c r="I223" s="506"/>
      <c r="J223" s="506"/>
      <c r="K223" s="506"/>
      <c r="L223" s="506"/>
    </row>
    <row r="224" spans="1:12">
      <c r="A224" s="506"/>
      <c r="B224" s="506"/>
      <c r="C224" s="506"/>
      <c r="D224" s="506"/>
      <c r="E224" s="506"/>
      <c r="F224" s="506"/>
      <c r="G224" s="506"/>
      <c r="H224" s="506"/>
      <c r="I224" s="506"/>
      <c r="J224" s="506"/>
      <c r="K224" s="506"/>
      <c r="L224" s="506"/>
    </row>
    <row r="225" spans="1:12">
      <c r="A225" s="506"/>
      <c r="B225" s="506"/>
      <c r="C225" s="506"/>
      <c r="D225" s="506"/>
      <c r="E225" s="506"/>
      <c r="F225" s="506"/>
      <c r="G225" s="506"/>
      <c r="H225" s="506"/>
      <c r="I225" s="506"/>
      <c r="J225" s="506"/>
      <c r="K225" s="506"/>
      <c r="L225" s="506"/>
    </row>
    <row r="226" spans="1:12">
      <c r="A226" s="506"/>
      <c r="B226" s="506"/>
      <c r="C226" s="506"/>
      <c r="D226" s="506"/>
      <c r="E226" s="506"/>
      <c r="F226" s="506"/>
      <c r="G226" s="506"/>
      <c r="H226" s="506"/>
      <c r="I226" s="506"/>
      <c r="J226" s="506"/>
      <c r="K226" s="506"/>
      <c r="L226" s="506"/>
    </row>
    <row r="227" spans="1:12">
      <c r="A227" s="506"/>
      <c r="B227" s="506"/>
      <c r="C227" s="506"/>
      <c r="D227" s="506"/>
      <c r="E227" s="506"/>
      <c r="F227" s="506"/>
      <c r="G227" s="506"/>
      <c r="H227" s="506"/>
      <c r="I227" s="506"/>
      <c r="J227" s="506"/>
      <c r="K227" s="506"/>
      <c r="L227" s="506"/>
    </row>
    <row r="228" spans="1:12">
      <c r="A228" s="506"/>
      <c r="B228" s="506"/>
      <c r="C228" s="506"/>
      <c r="D228" s="506"/>
      <c r="E228" s="506"/>
      <c r="F228" s="506"/>
      <c r="G228" s="506"/>
      <c r="H228" s="506"/>
      <c r="I228" s="506"/>
      <c r="J228" s="506"/>
      <c r="K228" s="506"/>
      <c r="L228" s="506"/>
    </row>
    <row r="229" spans="1:12">
      <c r="A229" s="506"/>
      <c r="B229" s="506"/>
      <c r="C229" s="506"/>
      <c r="D229" s="506"/>
      <c r="E229" s="506"/>
      <c r="F229" s="506"/>
      <c r="G229" s="506"/>
      <c r="H229" s="506"/>
      <c r="I229" s="506"/>
      <c r="J229" s="506"/>
      <c r="K229" s="506"/>
      <c r="L229" s="506"/>
    </row>
    <row r="230" spans="1:12">
      <c r="A230" s="506"/>
      <c r="B230" s="506"/>
      <c r="C230" s="506"/>
      <c r="D230" s="506"/>
      <c r="E230" s="506"/>
      <c r="F230" s="506"/>
      <c r="G230" s="506"/>
      <c r="H230" s="506"/>
      <c r="I230" s="506"/>
      <c r="J230" s="506"/>
      <c r="K230" s="506"/>
      <c r="L230" s="506"/>
    </row>
    <row r="231" spans="1:12">
      <c r="A231" s="506"/>
      <c r="B231" s="506"/>
      <c r="C231" s="506"/>
      <c r="D231" s="506"/>
      <c r="E231" s="506"/>
      <c r="F231" s="506"/>
      <c r="G231" s="506"/>
      <c r="H231" s="506"/>
      <c r="I231" s="506"/>
      <c r="J231" s="506"/>
      <c r="K231" s="506"/>
      <c r="L231" s="506"/>
    </row>
    <row r="232" spans="1:12">
      <c r="A232" s="506"/>
      <c r="B232" s="506"/>
      <c r="C232" s="506"/>
      <c r="D232" s="506"/>
      <c r="E232" s="506"/>
      <c r="F232" s="506"/>
      <c r="G232" s="506"/>
      <c r="H232" s="506"/>
      <c r="I232" s="506"/>
      <c r="J232" s="506"/>
      <c r="K232" s="506"/>
      <c r="L232" s="506"/>
    </row>
    <row r="233" spans="1:12">
      <c r="A233" s="506"/>
      <c r="B233" s="506"/>
      <c r="C233" s="506"/>
      <c r="D233" s="506"/>
      <c r="E233" s="506"/>
      <c r="F233" s="506"/>
      <c r="G233" s="506"/>
      <c r="H233" s="506"/>
      <c r="I233" s="506"/>
      <c r="J233" s="506"/>
      <c r="K233" s="506"/>
      <c r="L233" s="506"/>
    </row>
    <row r="234" spans="1:12">
      <c r="A234" s="506"/>
      <c r="B234" s="506"/>
      <c r="C234" s="506"/>
      <c r="D234" s="506"/>
      <c r="E234" s="506"/>
      <c r="F234" s="506"/>
      <c r="G234" s="506"/>
      <c r="H234" s="506"/>
      <c r="I234" s="506"/>
      <c r="J234" s="506"/>
      <c r="K234" s="506"/>
      <c r="L234" s="506"/>
    </row>
    <row r="235" spans="1:12">
      <c r="A235" s="506"/>
      <c r="B235" s="506"/>
      <c r="C235" s="506"/>
      <c r="D235" s="506"/>
      <c r="E235" s="506"/>
      <c r="F235" s="506"/>
      <c r="G235" s="506"/>
      <c r="H235" s="506"/>
      <c r="I235" s="506"/>
      <c r="J235" s="506"/>
      <c r="K235" s="506"/>
      <c r="L235" s="506"/>
    </row>
    <row r="236" spans="1:12">
      <c r="A236" s="506"/>
      <c r="B236" s="506"/>
      <c r="C236" s="506"/>
      <c r="D236" s="506"/>
      <c r="E236" s="506"/>
      <c r="F236" s="506"/>
      <c r="G236" s="506"/>
      <c r="H236" s="506"/>
      <c r="I236" s="506"/>
      <c r="J236" s="506"/>
      <c r="K236" s="506"/>
      <c r="L236" s="506"/>
    </row>
    <row r="237" spans="1:12">
      <c r="A237" s="506"/>
      <c r="B237" s="506"/>
      <c r="C237" s="506"/>
      <c r="D237" s="506"/>
      <c r="E237" s="506"/>
      <c r="F237" s="506"/>
      <c r="G237" s="506"/>
      <c r="H237" s="506"/>
      <c r="I237" s="506"/>
      <c r="J237" s="506"/>
      <c r="K237" s="506"/>
      <c r="L237" s="506"/>
    </row>
    <row r="238" spans="1:12">
      <c r="A238" s="506"/>
      <c r="B238" s="506"/>
      <c r="C238" s="506"/>
      <c r="D238" s="506"/>
      <c r="E238" s="506"/>
      <c r="F238" s="506"/>
      <c r="G238" s="506"/>
      <c r="H238" s="506"/>
      <c r="I238" s="506"/>
      <c r="J238" s="506"/>
      <c r="K238" s="506"/>
      <c r="L238" s="506"/>
    </row>
    <row r="239" spans="1:12">
      <c r="A239" s="506"/>
      <c r="B239" s="506"/>
      <c r="C239" s="506"/>
      <c r="D239" s="506"/>
      <c r="E239" s="506"/>
      <c r="F239" s="506"/>
      <c r="G239" s="506"/>
      <c r="H239" s="506"/>
      <c r="I239" s="506"/>
      <c r="J239" s="506"/>
      <c r="K239" s="506"/>
      <c r="L239" s="506"/>
    </row>
    <row r="240" spans="1:12">
      <c r="A240" s="506"/>
      <c r="B240" s="506"/>
      <c r="C240" s="506"/>
      <c r="D240" s="506"/>
      <c r="E240" s="506"/>
      <c r="F240" s="506"/>
      <c r="G240" s="506"/>
      <c r="H240" s="506"/>
      <c r="I240" s="506"/>
      <c r="J240" s="506"/>
      <c r="K240" s="506"/>
      <c r="L240" s="506"/>
    </row>
    <row r="241" spans="1:12">
      <c r="A241" s="506"/>
      <c r="B241" s="506"/>
      <c r="C241" s="506"/>
      <c r="D241" s="506"/>
      <c r="E241" s="506"/>
      <c r="F241" s="506"/>
      <c r="G241" s="506"/>
      <c r="H241" s="506"/>
      <c r="I241" s="506"/>
      <c r="J241" s="506"/>
      <c r="K241" s="506"/>
      <c r="L241" s="506"/>
    </row>
    <row r="242" spans="1:12">
      <c r="A242" s="506"/>
      <c r="B242" s="506"/>
      <c r="C242" s="506"/>
      <c r="D242" s="506"/>
      <c r="E242" s="506"/>
      <c r="F242" s="506"/>
      <c r="G242" s="506"/>
      <c r="H242" s="506"/>
      <c r="I242" s="506"/>
      <c r="J242" s="506"/>
      <c r="K242" s="506"/>
      <c r="L242" s="506"/>
    </row>
    <row r="243" spans="1:12">
      <c r="A243" s="506"/>
      <c r="B243" s="506"/>
      <c r="C243" s="506"/>
      <c r="D243" s="506"/>
      <c r="E243" s="506"/>
      <c r="F243" s="506"/>
      <c r="G243" s="506"/>
      <c r="H243" s="506"/>
      <c r="I243" s="506"/>
      <c r="J243" s="506"/>
      <c r="K243" s="506"/>
      <c r="L243" s="506"/>
    </row>
    <row r="244" spans="1:12">
      <c r="A244" s="506"/>
      <c r="B244" s="506"/>
      <c r="C244" s="506"/>
      <c r="D244" s="506"/>
      <c r="E244" s="506"/>
      <c r="F244" s="506"/>
      <c r="G244" s="506"/>
      <c r="H244" s="506"/>
      <c r="I244" s="506"/>
      <c r="J244" s="506"/>
      <c r="K244" s="506"/>
      <c r="L244" s="506"/>
    </row>
    <row r="245" spans="1:12">
      <c r="A245" s="506"/>
      <c r="B245" s="506"/>
      <c r="C245" s="506"/>
      <c r="D245" s="506"/>
      <c r="E245" s="506"/>
      <c r="F245" s="506"/>
      <c r="G245" s="506"/>
      <c r="H245" s="506"/>
      <c r="I245" s="506"/>
      <c r="J245" s="506"/>
      <c r="K245" s="506"/>
      <c r="L245" s="506"/>
    </row>
    <row r="246" spans="1:12">
      <c r="A246" s="506"/>
      <c r="B246" s="506"/>
      <c r="C246" s="506"/>
      <c r="D246" s="506"/>
      <c r="E246" s="506"/>
      <c r="F246" s="506"/>
      <c r="G246" s="506"/>
      <c r="H246" s="506"/>
      <c r="I246" s="506"/>
      <c r="J246" s="506"/>
      <c r="K246" s="506"/>
      <c r="L246" s="506"/>
    </row>
    <row r="247" spans="1:12">
      <c r="A247" s="506"/>
      <c r="B247" s="506"/>
      <c r="C247" s="506"/>
      <c r="D247" s="506"/>
      <c r="E247" s="506"/>
      <c r="F247" s="506"/>
      <c r="G247" s="506"/>
      <c r="H247" s="506"/>
      <c r="I247" s="506"/>
      <c r="J247" s="506"/>
      <c r="K247" s="506"/>
      <c r="L247" s="506"/>
    </row>
    <row r="248" spans="1:12">
      <c r="A248" s="506"/>
      <c r="B248" s="506"/>
      <c r="C248" s="506"/>
      <c r="D248" s="506"/>
      <c r="E248" s="506"/>
      <c r="F248" s="506"/>
      <c r="G248" s="506"/>
      <c r="H248" s="506"/>
      <c r="I248" s="506"/>
      <c r="J248" s="506"/>
      <c r="K248" s="506"/>
      <c r="L248" s="506"/>
    </row>
    <row r="249" spans="1:12">
      <c r="A249" s="506"/>
      <c r="B249" s="506"/>
      <c r="C249" s="506"/>
      <c r="D249" s="506"/>
      <c r="E249" s="506"/>
      <c r="F249" s="506"/>
      <c r="G249" s="506"/>
      <c r="H249" s="506"/>
      <c r="I249" s="506"/>
      <c r="J249" s="506"/>
      <c r="K249" s="506"/>
      <c r="L249" s="506"/>
    </row>
    <row r="250" spans="1:12">
      <c r="A250" s="506"/>
      <c r="B250" s="506"/>
      <c r="C250" s="506"/>
      <c r="D250" s="506"/>
      <c r="E250" s="506"/>
      <c r="F250" s="506"/>
      <c r="G250" s="506"/>
      <c r="H250" s="506"/>
      <c r="I250" s="506"/>
      <c r="J250" s="506"/>
      <c r="K250" s="506"/>
      <c r="L250" s="506"/>
    </row>
    <row r="251" spans="1:12">
      <c r="A251" s="506"/>
      <c r="B251" s="506"/>
      <c r="C251" s="506"/>
      <c r="D251" s="506"/>
      <c r="E251" s="506"/>
      <c r="F251" s="506"/>
      <c r="G251" s="506"/>
      <c r="H251" s="506"/>
      <c r="I251" s="506"/>
      <c r="J251" s="506"/>
      <c r="K251" s="506"/>
      <c r="L251" s="506"/>
    </row>
    <row r="252" spans="1:12">
      <c r="A252" s="506"/>
      <c r="B252" s="506"/>
      <c r="C252" s="506"/>
      <c r="D252" s="506"/>
      <c r="E252" s="506"/>
      <c r="F252" s="506"/>
      <c r="G252" s="506"/>
      <c r="H252" s="506"/>
      <c r="I252" s="506"/>
      <c r="J252" s="506"/>
      <c r="K252" s="506"/>
      <c r="L252" s="506"/>
    </row>
    <row r="253" spans="1:12">
      <c r="A253" s="506"/>
      <c r="B253" s="506"/>
      <c r="C253" s="506"/>
      <c r="D253" s="506"/>
      <c r="E253" s="506"/>
      <c r="F253" s="506"/>
      <c r="G253" s="506"/>
      <c r="H253" s="506"/>
      <c r="I253" s="506"/>
      <c r="J253" s="506"/>
      <c r="K253" s="506"/>
      <c r="L253" s="506"/>
    </row>
    <row r="254" spans="1:12">
      <c r="A254" s="506"/>
      <c r="B254" s="506"/>
      <c r="C254" s="506"/>
      <c r="D254" s="506"/>
      <c r="E254" s="506"/>
      <c r="F254" s="506"/>
      <c r="G254" s="506"/>
      <c r="H254" s="506"/>
      <c r="I254" s="506"/>
      <c r="J254" s="506"/>
      <c r="K254" s="506"/>
      <c r="L254" s="506"/>
    </row>
    <row r="255" spans="1:12">
      <c r="A255" s="506"/>
      <c r="B255" s="506"/>
      <c r="C255" s="506"/>
      <c r="D255" s="506"/>
      <c r="E255" s="506"/>
      <c r="F255" s="506"/>
      <c r="G255" s="506"/>
      <c r="H255" s="506"/>
      <c r="I255" s="506"/>
      <c r="J255" s="506"/>
      <c r="K255" s="506"/>
      <c r="L255" s="506"/>
    </row>
    <row r="256" spans="1:12">
      <c r="A256" s="506"/>
      <c r="B256" s="506"/>
      <c r="C256" s="506"/>
      <c r="D256" s="506"/>
      <c r="E256" s="506"/>
      <c r="F256" s="506"/>
      <c r="G256" s="506"/>
      <c r="H256" s="506"/>
      <c r="I256" s="506"/>
      <c r="J256" s="506"/>
      <c r="K256" s="506"/>
      <c r="L256" s="506"/>
    </row>
    <row r="257" spans="1:12">
      <c r="A257" s="506"/>
      <c r="B257" s="506"/>
      <c r="C257" s="506"/>
      <c r="D257" s="506"/>
      <c r="E257" s="506"/>
      <c r="F257" s="506"/>
      <c r="G257" s="506"/>
      <c r="H257" s="506"/>
      <c r="I257" s="506"/>
      <c r="J257" s="506"/>
      <c r="K257" s="506"/>
      <c r="L257" s="506"/>
    </row>
    <row r="258" spans="1:12">
      <c r="A258" s="506"/>
      <c r="B258" s="506"/>
      <c r="C258" s="506"/>
      <c r="D258" s="506"/>
      <c r="E258" s="506"/>
      <c r="F258" s="506"/>
      <c r="G258" s="506"/>
      <c r="H258" s="506"/>
      <c r="I258" s="506"/>
      <c r="J258" s="506"/>
      <c r="K258" s="506"/>
      <c r="L258" s="506"/>
    </row>
    <row r="259" spans="1:12">
      <c r="A259" s="506"/>
      <c r="B259" s="506"/>
      <c r="C259" s="506"/>
      <c r="D259" s="506"/>
      <c r="E259" s="506"/>
      <c r="F259" s="506"/>
      <c r="G259" s="506"/>
      <c r="H259" s="506"/>
      <c r="I259" s="506"/>
      <c r="J259" s="506"/>
      <c r="K259" s="506"/>
      <c r="L259" s="506"/>
    </row>
    <row r="260" spans="1:12">
      <c r="A260" s="506"/>
      <c r="B260" s="506"/>
      <c r="C260" s="506"/>
      <c r="D260" s="506"/>
      <c r="E260" s="506"/>
      <c r="F260" s="506"/>
      <c r="G260" s="506"/>
      <c r="H260" s="506"/>
      <c r="I260" s="506"/>
      <c r="J260" s="506"/>
      <c r="K260" s="506"/>
      <c r="L260" s="506"/>
    </row>
    <row r="261" spans="1:12">
      <c r="A261" s="506"/>
      <c r="B261" s="506"/>
      <c r="C261" s="506"/>
      <c r="D261" s="506"/>
      <c r="E261" s="506"/>
      <c r="F261" s="506"/>
      <c r="G261" s="506"/>
      <c r="H261" s="506"/>
      <c r="I261" s="506"/>
      <c r="J261" s="506"/>
      <c r="K261" s="506"/>
      <c r="L261" s="506"/>
    </row>
    <row r="262" spans="1:12">
      <c r="A262" s="506"/>
      <c r="B262" s="506"/>
      <c r="C262" s="506"/>
      <c r="D262" s="506"/>
      <c r="E262" s="506"/>
      <c r="F262" s="506"/>
      <c r="G262" s="506"/>
      <c r="H262" s="506"/>
      <c r="I262" s="506"/>
      <c r="J262" s="506"/>
      <c r="K262" s="506"/>
      <c r="L262" s="506"/>
    </row>
    <row r="263" spans="1:12">
      <c r="A263" s="506"/>
      <c r="B263" s="506"/>
      <c r="C263" s="506"/>
      <c r="D263" s="506"/>
      <c r="E263" s="506"/>
      <c r="F263" s="506"/>
      <c r="G263" s="506"/>
      <c r="H263" s="506"/>
      <c r="I263" s="506"/>
      <c r="J263" s="506"/>
      <c r="K263" s="506"/>
      <c r="L263" s="506"/>
    </row>
    <row r="264" spans="1:12">
      <c r="A264" s="506"/>
      <c r="B264" s="506"/>
      <c r="C264" s="506"/>
      <c r="D264" s="506"/>
      <c r="E264" s="506"/>
      <c r="F264" s="506"/>
      <c r="G264" s="506"/>
      <c r="H264" s="506"/>
      <c r="I264" s="506"/>
      <c r="J264" s="506"/>
      <c r="K264" s="506"/>
      <c r="L264" s="506"/>
    </row>
    <row r="265" spans="1:12">
      <c r="A265" s="506"/>
      <c r="B265" s="506"/>
      <c r="C265" s="506"/>
      <c r="D265" s="506"/>
      <c r="E265" s="506"/>
      <c r="F265" s="506"/>
      <c r="G265" s="506"/>
      <c r="H265" s="506"/>
      <c r="I265" s="506"/>
      <c r="J265" s="506"/>
      <c r="K265" s="506"/>
      <c r="L265" s="506"/>
    </row>
    <row r="266" spans="1:12">
      <c r="A266" s="506"/>
      <c r="B266" s="506"/>
      <c r="C266" s="506"/>
      <c r="D266" s="506"/>
      <c r="E266" s="506"/>
      <c r="F266" s="506"/>
      <c r="G266" s="506"/>
      <c r="H266" s="506"/>
      <c r="I266" s="506"/>
      <c r="J266" s="506"/>
      <c r="K266" s="506"/>
      <c r="L266" s="506"/>
    </row>
    <row r="267" spans="1:12">
      <c r="A267" s="506"/>
      <c r="B267" s="506"/>
      <c r="C267" s="506"/>
      <c r="D267" s="506"/>
      <c r="E267" s="506"/>
      <c r="F267" s="506"/>
      <c r="G267" s="506"/>
      <c r="H267" s="506"/>
      <c r="I267" s="506"/>
      <c r="J267" s="506"/>
      <c r="K267" s="506"/>
      <c r="L267" s="506"/>
    </row>
    <row r="268" spans="1:12">
      <c r="A268" s="506"/>
      <c r="B268" s="506"/>
      <c r="C268" s="506"/>
      <c r="D268" s="506"/>
      <c r="E268" s="506"/>
      <c r="F268" s="506"/>
      <c r="G268" s="506"/>
      <c r="H268" s="506"/>
      <c r="I268" s="506"/>
      <c r="J268" s="506"/>
      <c r="K268" s="506"/>
      <c r="L268" s="506"/>
    </row>
    <row r="269" spans="1:12">
      <c r="A269" s="506"/>
      <c r="B269" s="506"/>
      <c r="C269" s="506"/>
      <c r="D269" s="506"/>
      <c r="E269" s="506"/>
      <c r="F269" s="506"/>
      <c r="G269" s="506"/>
      <c r="H269" s="506"/>
      <c r="I269" s="506"/>
      <c r="J269" s="506"/>
      <c r="K269" s="506"/>
      <c r="L269" s="506"/>
    </row>
    <row r="270" spans="1:12">
      <c r="A270" s="506"/>
      <c r="B270" s="506"/>
      <c r="C270" s="506"/>
      <c r="D270" s="506"/>
      <c r="E270" s="506"/>
      <c r="F270" s="506"/>
      <c r="G270" s="506"/>
      <c r="H270" s="506"/>
      <c r="I270" s="506"/>
      <c r="J270" s="506"/>
      <c r="K270" s="506"/>
      <c r="L270" s="506"/>
    </row>
    <row r="271" spans="1:12">
      <c r="A271" s="506"/>
      <c r="B271" s="506"/>
      <c r="C271" s="506"/>
      <c r="D271" s="506"/>
      <c r="E271" s="506"/>
      <c r="F271" s="506"/>
      <c r="G271" s="506"/>
      <c r="H271" s="506"/>
      <c r="I271" s="506"/>
      <c r="J271" s="506"/>
      <c r="K271" s="506"/>
      <c r="L271" s="506"/>
    </row>
    <row r="272" spans="1:12">
      <c r="A272" s="506"/>
      <c r="B272" s="506"/>
      <c r="C272" s="506"/>
      <c r="D272" s="506"/>
      <c r="E272" s="506"/>
      <c r="F272" s="506"/>
      <c r="G272" s="506"/>
      <c r="H272" s="506"/>
      <c r="I272" s="506"/>
      <c r="J272" s="506"/>
      <c r="K272" s="506"/>
      <c r="L272" s="506"/>
    </row>
    <row r="273" spans="1:12">
      <c r="A273" s="506"/>
      <c r="B273" s="506"/>
      <c r="C273" s="506"/>
      <c r="D273" s="506"/>
      <c r="E273" s="506"/>
      <c r="F273" s="506"/>
      <c r="G273" s="506"/>
      <c r="H273" s="506"/>
      <c r="I273" s="506"/>
      <c r="J273" s="506"/>
      <c r="K273" s="506"/>
      <c r="L273" s="506"/>
    </row>
    <row r="274" spans="1:12">
      <c r="A274" s="506"/>
      <c r="B274" s="506"/>
      <c r="C274" s="506"/>
      <c r="D274" s="506"/>
      <c r="E274" s="506"/>
      <c r="F274" s="506"/>
      <c r="G274" s="506"/>
      <c r="H274" s="506"/>
      <c r="I274" s="506"/>
      <c r="J274" s="506"/>
      <c r="K274" s="506"/>
      <c r="L274" s="506"/>
    </row>
    <row r="275" spans="1:12">
      <c r="A275" s="506"/>
      <c r="B275" s="506"/>
      <c r="C275" s="506"/>
      <c r="D275" s="506"/>
      <c r="E275" s="506"/>
      <c r="F275" s="506"/>
      <c r="G275" s="506"/>
      <c r="H275" s="506"/>
      <c r="I275" s="506"/>
      <c r="J275" s="506"/>
      <c r="K275" s="506"/>
      <c r="L275" s="506"/>
    </row>
    <row r="276" spans="1:12">
      <c r="A276" s="506"/>
      <c r="B276" s="506"/>
      <c r="C276" s="506"/>
      <c r="D276" s="506"/>
      <c r="E276" s="506"/>
      <c r="F276" s="506"/>
      <c r="G276" s="506"/>
      <c r="H276" s="506"/>
      <c r="I276" s="506"/>
      <c r="J276" s="506"/>
      <c r="K276" s="506"/>
      <c r="L276" s="506"/>
    </row>
    <row r="277" spans="1:12">
      <c r="A277" s="506"/>
      <c r="B277" s="506"/>
      <c r="C277" s="506"/>
      <c r="D277" s="506"/>
      <c r="E277" s="506"/>
      <c r="F277" s="506"/>
      <c r="G277" s="506"/>
      <c r="H277" s="506"/>
      <c r="I277" s="506"/>
      <c r="J277" s="506"/>
      <c r="K277" s="506"/>
      <c r="L277" s="506"/>
    </row>
    <row r="278" spans="1:12">
      <c r="A278" s="506"/>
      <c r="B278" s="506"/>
      <c r="C278" s="506"/>
      <c r="D278" s="506"/>
      <c r="E278" s="506"/>
      <c r="F278" s="506"/>
      <c r="G278" s="506"/>
      <c r="H278" s="506"/>
      <c r="I278" s="506"/>
      <c r="J278" s="506"/>
      <c r="K278" s="506"/>
      <c r="L278" s="506"/>
    </row>
    <row r="279" spans="1:12">
      <c r="A279" s="506"/>
      <c r="B279" s="506"/>
      <c r="C279" s="506"/>
      <c r="D279" s="506"/>
      <c r="E279" s="506"/>
      <c r="F279" s="506"/>
      <c r="G279" s="506"/>
      <c r="H279" s="506"/>
      <c r="I279" s="506"/>
      <c r="J279" s="506"/>
      <c r="K279" s="506"/>
      <c r="L279" s="506"/>
    </row>
    <row r="280" spans="1:12">
      <c r="A280" s="506"/>
      <c r="B280" s="506"/>
      <c r="C280" s="506"/>
      <c r="D280" s="506"/>
      <c r="E280" s="506"/>
      <c r="F280" s="506"/>
      <c r="G280" s="506"/>
      <c r="H280" s="506"/>
      <c r="I280" s="506"/>
      <c r="J280" s="506"/>
      <c r="K280" s="506"/>
      <c r="L280" s="506"/>
    </row>
    <row r="281" spans="1:12">
      <c r="A281" s="506"/>
      <c r="B281" s="506"/>
      <c r="C281" s="506"/>
      <c r="D281" s="506"/>
      <c r="E281" s="506"/>
      <c r="F281" s="506"/>
      <c r="G281" s="506"/>
      <c r="H281" s="506"/>
      <c r="I281" s="506"/>
      <c r="J281" s="506"/>
      <c r="K281" s="506"/>
      <c r="L281" s="506"/>
    </row>
    <row r="282" spans="1:12">
      <c r="A282" s="506"/>
      <c r="B282" s="506"/>
      <c r="C282" s="506"/>
      <c r="D282" s="506"/>
      <c r="E282" s="506"/>
      <c r="F282" s="506"/>
      <c r="G282" s="506"/>
      <c r="H282" s="506"/>
      <c r="I282" s="506"/>
      <c r="J282" s="506"/>
      <c r="K282" s="506"/>
      <c r="L282" s="506"/>
    </row>
    <row r="283" spans="1:12">
      <c r="A283" s="506"/>
      <c r="B283" s="506"/>
      <c r="C283" s="506"/>
      <c r="D283" s="506"/>
      <c r="E283" s="506"/>
      <c r="F283" s="506"/>
      <c r="G283" s="506"/>
      <c r="H283" s="506"/>
      <c r="I283" s="506"/>
      <c r="J283" s="506"/>
      <c r="K283" s="506"/>
      <c r="L283" s="506"/>
    </row>
    <row r="284" spans="1:12">
      <c r="A284" s="506"/>
      <c r="B284" s="506"/>
      <c r="C284" s="506"/>
      <c r="D284" s="506"/>
      <c r="E284" s="506"/>
      <c r="F284" s="506"/>
      <c r="G284" s="506"/>
      <c r="H284" s="506"/>
      <c r="I284" s="506"/>
      <c r="J284" s="506"/>
      <c r="K284" s="506"/>
      <c r="L284" s="506"/>
    </row>
    <row r="285" spans="1:12">
      <c r="A285" s="506"/>
      <c r="B285" s="506"/>
      <c r="C285" s="506"/>
      <c r="D285" s="506"/>
      <c r="E285" s="506"/>
      <c r="F285" s="506"/>
      <c r="G285" s="506"/>
      <c r="H285" s="506"/>
      <c r="I285" s="506"/>
      <c r="J285" s="506"/>
      <c r="K285" s="506"/>
      <c r="L285" s="506"/>
    </row>
    <row r="286" spans="1:12">
      <c r="A286" s="506"/>
      <c r="B286" s="506"/>
      <c r="C286" s="506"/>
      <c r="D286" s="506"/>
      <c r="E286" s="506"/>
      <c r="F286" s="506"/>
      <c r="G286" s="506"/>
      <c r="H286" s="506"/>
      <c r="I286" s="506"/>
      <c r="J286" s="506"/>
      <c r="K286" s="506"/>
      <c r="L286" s="506"/>
    </row>
    <row r="287" spans="1:12">
      <c r="A287" s="506"/>
      <c r="B287" s="506"/>
      <c r="C287" s="506"/>
      <c r="D287" s="506"/>
      <c r="E287" s="506"/>
      <c r="F287" s="506"/>
      <c r="G287" s="506"/>
      <c r="H287" s="506"/>
      <c r="I287" s="506"/>
      <c r="J287" s="506"/>
      <c r="K287" s="506"/>
      <c r="L287" s="506"/>
    </row>
    <row r="288" spans="1:12">
      <c r="A288" s="506"/>
      <c r="B288" s="506"/>
      <c r="C288" s="506"/>
      <c r="D288" s="506"/>
      <c r="E288" s="506"/>
      <c r="F288" s="506"/>
      <c r="G288" s="506"/>
      <c r="H288" s="506"/>
      <c r="I288" s="506"/>
      <c r="J288" s="506"/>
      <c r="K288" s="506"/>
      <c r="L288" s="506"/>
    </row>
    <row r="289" spans="1:12">
      <c r="A289" s="506"/>
      <c r="B289" s="506"/>
      <c r="C289" s="506"/>
      <c r="D289" s="506"/>
      <c r="E289" s="506"/>
      <c r="F289" s="506"/>
      <c r="G289" s="506"/>
      <c r="H289" s="506"/>
      <c r="I289" s="506"/>
      <c r="J289" s="506"/>
      <c r="K289" s="506"/>
      <c r="L289" s="506"/>
    </row>
    <row r="290" spans="1:12">
      <c r="A290" s="506"/>
      <c r="B290" s="506"/>
      <c r="C290" s="506"/>
      <c r="D290" s="506"/>
      <c r="E290" s="506"/>
      <c r="F290" s="506"/>
      <c r="G290" s="506"/>
      <c r="H290" s="506"/>
      <c r="I290" s="506"/>
      <c r="J290" s="506"/>
      <c r="K290" s="506"/>
      <c r="L290" s="506"/>
    </row>
    <row r="291" spans="1:12">
      <c r="A291" s="506"/>
      <c r="B291" s="506"/>
      <c r="C291" s="506"/>
      <c r="D291" s="506"/>
      <c r="E291" s="506"/>
      <c r="F291" s="506"/>
      <c r="G291" s="506"/>
      <c r="H291" s="506"/>
      <c r="I291" s="506"/>
      <c r="J291" s="506"/>
      <c r="K291" s="506"/>
      <c r="L291" s="506"/>
    </row>
    <row r="292" spans="1:12">
      <c r="A292" s="506"/>
      <c r="B292" s="506"/>
      <c r="C292" s="506"/>
      <c r="D292" s="506"/>
      <c r="E292" s="506"/>
      <c r="F292" s="506"/>
      <c r="G292" s="506"/>
      <c r="H292" s="506"/>
      <c r="I292" s="506"/>
      <c r="J292" s="506"/>
      <c r="K292" s="506"/>
      <c r="L292" s="506"/>
    </row>
    <row r="293" spans="1:12">
      <c r="A293" s="506"/>
      <c r="B293" s="506"/>
      <c r="C293" s="506"/>
      <c r="D293" s="506"/>
      <c r="E293" s="506"/>
      <c r="F293" s="506"/>
      <c r="G293" s="506"/>
      <c r="H293" s="506"/>
      <c r="I293" s="506"/>
      <c r="J293" s="506"/>
      <c r="K293" s="506"/>
      <c r="L293" s="506"/>
    </row>
    <row r="294" spans="1:12">
      <c r="A294" s="506"/>
      <c r="B294" s="506"/>
      <c r="C294" s="506"/>
      <c r="D294" s="506"/>
      <c r="E294" s="506"/>
      <c r="F294" s="506"/>
      <c r="G294" s="506"/>
      <c r="H294" s="506"/>
      <c r="I294" s="506"/>
      <c r="J294" s="506"/>
      <c r="K294" s="506"/>
      <c r="L294" s="506"/>
    </row>
    <row r="295" spans="1:12">
      <c r="A295" s="506"/>
      <c r="B295" s="506"/>
      <c r="C295" s="506"/>
      <c r="D295" s="506"/>
      <c r="E295" s="506"/>
      <c r="F295" s="506"/>
      <c r="G295" s="506"/>
      <c r="H295" s="506"/>
      <c r="I295" s="506"/>
      <c r="J295" s="506"/>
      <c r="K295" s="506"/>
      <c r="L295" s="506"/>
    </row>
    <row r="296" spans="1:12">
      <c r="A296" s="506"/>
      <c r="B296" s="506"/>
      <c r="C296" s="506"/>
      <c r="D296" s="506"/>
      <c r="E296" s="506"/>
      <c r="F296" s="506"/>
      <c r="G296" s="506"/>
      <c r="H296" s="506"/>
      <c r="I296" s="506"/>
      <c r="J296" s="506"/>
      <c r="K296" s="506"/>
      <c r="L296" s="506"/>
    </row>
    <row r="297" spans="1:12">
      <c r="A297" s="506"/>
      <c r="B297" s="506"/>
      <c r="C297" s="506"/>
      <c r="D297" s="506"/>
      <c r="E297" s="506"/>
      <c r="F297" s="506"/>
      <c r="G297" s="506"/>
      <c r="H297" s="506"/>
      <c r="I297" s="506"/>
      <c r="J297" s="506"/>
      <c r="K297" s="506"/>
      <c r="L297" s="506"/>
    </row>
    <row r="298" spans="1:12">
      <c r="A298" s="506"/>
      <c r="B298" s="506"/>
      <c r="C298" s="506"/>
      <c r="D298" s="506"/>
      <c r="E298" s="506"/>
      <c r="F298" s="506"/>
      <c r="G298" s="506"/>
      <c r="H298" s="506"/>
      <c r="I298" s="506"/>
      <c r="J298" s="506"/>
      <c r="K298" s="506"/>
      <c r="L298" s="506"/>
    </row>
    <row r="299" spans="1:12">
      <c r="A299" s="506"/>
      <c r="B299" s="506"/>
      <c r="C299" s="506"/>
      <c r="D299" s="506"/>
      <c r="E299" s="506"/>
      <c r="F299" s="506"/>
      <c r="G299" s="506"/>
      <c r="H299" s="506"/>
      <c r="I299" s="506"/>
      <c r="J299" s="506"/>
      <c r="K299" s="506"/>
      <c r="L299" s="506"/>
    </row>
    <row r="300" spans="1:12">
      <c r="A300" s="506"/>
      <c r="B300" s="506"/>
      <c r="C300" s="506"/>
      <c r="D300" s="506"/>
      <c r="E300" s="506"/>
      <c r="F300" s="506"/>
      <c r="G300" s="506"/>
      <c r="H300" s="506"/>
      <c r="I300" s="506"/>
      <c r="J300" s="506"/>
      <c r="K300" s="506"/>
      <c r="L300" s="506"/>
    </row>
    <row r="301" spans="1:12">
      <c r="A301" s="506"/>
      <c r="B301" s="506"/>
      <c r="C301" s="506"/>
      <c r="D301" s="506"/>
      <c r="E301" s="506"/>
      <c r="F301" s="506"/>
      <c r="G301" s="506"/>
      <c r="H301" s="506"/>
      <c r="I301" s="506"/>
      <c r="J301" s="506"/>
      <c r="K301" s="506"/>
      <c r="L301" s="506"/>
    </row>
    <row r="302" spans="1:12">
      <c r="A302" s="506"/>
      <c r="B302" s="506"/>
      <c r="C302" s="506"/>
      <c r="D302" s="506"/>
      <c r="E302" s="506"/>
      <c r="F302" s="506"/>
      <c r="G302" s="506"/>
      <c r="H302" s="506"/>
      <c r="I302" s="506"/>
      <c r="J302" s="506"/>
      <c r="K302" s="506"/>
      <c r="L302" s="506"/>
    </row>
    <row r="303" spans="1:12">
      <c r="A303" s="506"/>
      <c r="B303" s="506"/>
      <c r="C303" s="506"/>
      <c r="D303" s="506"/>
      <c r="E303" s="506"/>
      <c r="F303" s="506"/>
      <c r="G303" s="506"/>
      <c r="H303" s="506"/>
      <c r="I303" s="506"/>
      <c r="J303" s="506"/>
      <c r="K303" s="506"/>
      <c r="L303" s="506"/>
    </row>
    <row r="304" spans="1:12">
      <c r="A304" s="506"/>
      <c r="B304" s="506"/>
      <c r="C304" s="506"/>
      <c r="D304" s="506"/>
      <c r="E304" s="506"/>
      <c r="F304" s="506"/>
      <c r="G304" s="506"/>
      <c r="H304" s="506"/>
      <c r="I304" s="506"/>
      <c r="J304" s="506"/>
      <c r="K304" s="506"/>
      <c r="L304" s="506"/>
    </row>
    <row r="305" spans="1:12">
      <c r="A305" s="506"/>
      <c r="B305" s="506"/>
      <c r="C305" s="506"/>
      <c r="D305" s="506"/>
      <c r="E305" s="506"/>
      <c r="F305" s="506"/>
      <c r="G305" s="506"/>
      <c r="H305" s="506"/>
      <c r="I305" s="506"/>
      <c r="J305" s="506"/>
      <c r="K305" s="506"/>
      <c r="L305" s="506"/>
    </row>
    <row r="306" spans="1:12">
      <c r="A306" s="506"/>
      <c r="B306" s="506"/>
      <c r="C306" s="506"/>
      <c r="D306" s="506"/>
      <c r="E306" s="506"/>
      <c r="F306" s="506"/>
      <c r="G306" s="506"/>
      <c r="H306" s="506"/>
      <c r="I306" s="506"/>
      <c r="J306" s="506"/>
      <c r="K306" s="506"/>
      <c r="L306" s="506"/>
    </row>
    <row r="307" spans="1:12">
      <c r="A307" s="506"/>
      <c r="B307" s="506"/>
      <c r="C307" s="506"/>
      <c r="D307" s="506"/>
      <c r="E307" s="506"/>
      <c r="F307" s="506"/>
      <c r="G307" s="506"/>
      <c r="H307" s="506"/>
      <c r="I307" s="506"/>
      <c r="J307" s="506"/>
      <c r="K307" s="506"/>
      <c r="L307" s="506"/>
    </row>
    <row r="308" spans="1:12">
      <c r="A308" s="506"/>
      <c r="B308" s="506"/>
      <c r="C308" s="506"/>
      <c r="D308" s="506"/>
      <c r="E308" s="506"/>
      <c r="F308" s="506"/>
      <c r="G308" s="506"/>
      <c r="H308" s="506"/>
      <c r="I308" s="506"/>
      <c r="J308" s="506"/>
      <c r="K308" s="506"/>
      <c r="L308" s="506"/>
    </row>
    <row r="309" spans="1:12">
      <c r="A309" s="506"/>
      <c r="B309" s="506"/>
      <c r="C309" s="506"/>
      <c r="D309" s="506"/>
      <c r="E309" s="506"/>
      <c r="F309" s="506"/>
      <c r="G309" s="506"/>
      <c r="H309" s="506"/>
      <c r="I309" s="506"/>
      <c r="J309" s="506"/>
      <c r="K309" s="506"/>
      <c r="L309" s="506"/>
    </row>
    <row r="310" spans="1:12">
      <c r="A310" s="506"/>
      <c r="B310" s="506"/>
      <c r="C310" s="506"/>
      <c r="D310" s="506"/>
      <c r="E310" s="506"/>
      <c r="F310" s="506"/>
      <c r="G310" s="506"/>
      <c r="H310" s="506"/>
      <c r="I310" s="506"/>
      <c r="J310" s="506"/>
      <c r="K310" s="506"/>
      <c r="L310" s="506"/>
    </row>
    <row r="311" spans="1:12">
      <c r="A311" s="506"/>
      <c r="B311" s="506"/>
      <c r="C311" s="506"/>
      <c r="D311" s="506"/>
      <c r="E311" s="506"/>
      <c r="F311" s="506"/>
      <c r="G311" s="506"/>
      <c r="H311" s="506"/>
      <c r="I311" s="506"/>
      <c r="J311" s="506"/>
      <c r="K311" s="506"/>
      <c r="L311" s="506"/>
    </row>
    <row r="312" spans="1:12">
      <c r="A312" s="506"/>
      <c r="B312" s="506"/>
      <c r="C312" s="506"/>
      <c r="D312" s="506"/>
      <c r="E312" s="506"/>
      <c r="F312" s="506"/>
      <c r="G312" s="506"/>
      <c r="H312" s="506"/>
      <c r="I312" s="506"/>
      <c r="J312" s="506"/>
      <c r="K312" s="506"/>
      <c r="L312" s="506"/>
    </row>
    <row r="313" spans="1:12">
      <c r="A313" s="506"/>
      <c r="B313" s="506"/>
      <c r="C313" s="506"/>
      <c r="D313" s="506"/>
      <c r="E313" s="506"/>
      <c r="F313" s="506"/>
      <c r="G313" s="506"/>
      <c r="H313" s="506"/>
      <c r="I313" s="506"/>
      <c r="J313" s="506"/>
      <c r="K313" s="506"/>
      <c r="L313" s="506"/>
    </row>
    <row r="314" spans="1:12">
      <c r="A314" s="506"/>
      <c r="B314" s="506"/>
      <c r="C314" s="506"/>
      <c r="D314" s="506"/>
      <c r="E314" s="506"/>
      <c r="F314" s="506"/>
      <c r="G314" s="506"/>
      <c r="H314" s="506"/>
      <c r="I314" s="506"/>
      <c r="J314" s="506"/>
      <c r="K314" s="506"/>
      <c r="L314" s="506"/>
    </row>
    <row r="315" spans="1:12">
      <c r="A315" s="506"/>
      <c r="B315" s="506"/>
      <c r="C315" s="506"/>
      <c r="D315" s="506"/>
      <c r="E315" s="506"/>
      <c r="F315" s="506"/>
      <c r="G315" s="506"/>
      <c r="H315" s="506"/>
      <c r="I315" s="506"/>
      <c r="J315" s="506"/>
      <c r="K315" s="506"/>
      <c r="L315" s="506"/>
    </row>
    <row r="316" spans="1:12">
      <c r="A316" s="506"/>
      <c r="B316" s="506"/>
      <c r="C316" s="506"/>
      <c r="D316" s="506"/>
      <c r="E316" s="506"/>
      <c r="F316" s="506"/>
      <c r="G316" s="506"/>
      <c r="H316" s="506"/>
      <c r="I316" s="506"/>
      <c r="J316" s="506"/>
      <c r="K316" s="506"/>
      <c r="L316" s="506"/>
    </row>
    <row r="317" spans="1:12">
      <c r="A317" s="506"/>
      <c r="B317" s="506"/>
      <c r="C317" s="506"/>
      <c r="D317" s="506"/>
      <c r="E317" s="506"/>
      <c r="F317" s="506"/>
      <c r="G317" s="506"/>
      <c r="H317" s="506"/>
      <c r="I317" s="506"/>
      <c r="J317" s="506"/>
      <c r="K317" s="506"/>
      <c r="L317" s="506"/>
    </row>
    <row r="318" spans="1:12">
      <c r="A318" s="506"/>
      <c r="B318" s="506"/>
      <c r="C318" s="506"/>
      <c r="D318" s="506"/>
      <c r="E318" s="506"/>
      <c r="F318" s="506"/>
      <c r="G318" s="506"/>
      <c r="H318" s="506"/>
      <c r="I318" s="506"/>
      <c r="J318" s="506"/>
      <c r="K318" s="506"/>
      <c r="L318" s="506"/>
    </row>
    <row r="319" spans="1:12">
      <c r="A319" s="506"/>
      <c r="B319" s="506"/>
      <c r="C319" s="506"/>
      <c r="D319" s="506"/>
      <c r="E319" s="506"/>
      <c r="F319" s="506"/>
      <c r="G319" s="506"/>
      <c r="H319" s="506"/>
      <c r="I319" s="506"/>
      <c r="J319" s="506"/>
      <c r="K319" s="506"/>
      <c r="L319" s="506"/>
    </row>
    <row r="320" spans="1:12">
      <c r="A320" s="506"/>
      <c r="B320" s="506"/>
      <c r="C320" s="506"/>
      <c r="D320" s="506"/>
      <c r="E320" s="506"/>
      <c r="F320" s="506"/>
      <c r="G320" s="506"/>
      <c r="H320" s="506"/>
      <c r="I320" s="506"/>
      <c r="J320" s="506"/>
      <c r="K320" s="506"/>
      <c r="L320" s="506"/>
    </row>
    <row r="321" spans="1:12">
      <c r="A321" s="506"/>
      <c r="B321" s="506"/>
      <c r="C321" s="506"/>
      <c r="D321" s="506"/>
      <c r="E321" s="506"/>
      <c r="F321" s="506"/>
      <c r="G321" s="506"/>
      <c r="H321" s="506"/>
      <c r="I321" s="506"/>
      <c r="J321" s="506"/>
      <c r="K321" s="506"/>
      <c r="L321" s="506"/>
    </row>
    <row r="322" spans="1:12">
      <c r="A322" s="506"/>
      <c r="B322" s="506"/>
      <c r="C322" s="506"/>
      <c r="D322" s="506"/>
      <c r="E322" s="506"/>
      <c r="F322" s="506"/>
      <c r="G322" s="506"/>
      <c r="H322" s="506"/>
      <c r="I322" s="506"/>
      <c r="J322" s="506"/>
      <c r="K322" s="506"/>
      <c r="L322" s="506"/>
    </row>
    <row r="323" spans="1:12">
      <c r="A323" s="506"/>
      <c r="B323" s="506"/>
      <c r="C323" s="506"/>
      <c r="D323" s="506"/>
      <c r="E323" s="506"/>
      <c r="F323" s="506"/>
      <c r="G323" s="506"/>
      <c r="H323" s="506"/>
      <c r="I323" s="506"/>
      <c r="J323" s="506"/>
      <c r="K323" s="506"/>
      <c r="L323" s="506"/>
    </row>
    <row r="324" spans="1:12">
      <c r="A324" s="506"/>
      <c r="B324" s="506"/>
      <c r="C324" s="506"/>
      <c r="D324" s="506"/>
      <c r="E324" s="506"/>
      <c r="F324" s="506"/>
      <c r="G324" s="506"/>
      <c r="H324" s="506"/>
      <c r="I324" s="506"/>
      <c r="J324" s="506"/>
      <c r="K324" s="506"/>
      <c r="L324" s="506"/>
    </row>
    <row r="325" spans="1:12">
      <c r="A325" s="506"/>
      <c r="B325" s="506"/>
      <c r="C325" s="506"/>
      <c r="D325" s="506"/>
      <c r="E325" s="506"/>
      <c r="F325" s="506"/>
      <c r="G325" s="506"/>
      <c r="H325" s="506"/>
      <c r="I325" s="506"/>
      <c r="J325" s="506"/>
      <c r="K325" s="506"/>
      <c r="L325" s="506"/>
    </row>
    <row r="326" spans="1:12">
      <c r="A326" s="506"/>
      <c r="B326" s="506"/>
      <c r="C326" s="506"/>
      <c r="D326" s="506"/>
      <c r="E326" s="506"/>
      <c r="F326" s="506"/>
      <c r="G326" s="506"/>
      <c r="H326" s="506"/>
      <c r="I326" s="506"/>
      <c r="J326" s="506"/>
      <c r="K326" s="506"/>
      <c r="L326" s="506"/>
    </row>
    <row r="327" spans="1:12">
      <c r="A327" s="506"/>
      <c r="B327" s="506"/>
      <c r="C327" s="506"/>
      <c r="D327" s="506"/>
      <c r="E327" s="506"/>
      <c r="F327" s="506"/>
      <c r="G327" s="506"/>
      <c r="H327" s="506"/>
      <c r="I327" s="506"/>
      <c r="J327" s="506"/>
      <c r="K327" s="506"/>
      <c r="L327" s="506"/>
    </row>
    <row r="328" spans="1:12">
      <c r="A328" s="506"/>
      <c r="B328" s="506"/>
      <c r="C328" s="506"/>
      <c r="D328" s="506"/>
      <c r="E328" s="506"/>
      <c r="F328" s="506"/>
      <c r="G328" s="506"/>
      <c r="H328" s="506"/>
      <c r="I328" s="506"/>
      <c r="J328" s="506"/>
      <c r="K328" s="506"/>
      <c r="L328" s="506"/>
    </row>
    <row r="329" spans="1:12">
      <c r="A329" s="506"/>
      <c r="B329" s="506"/>
      <c r="C329" s="506"/>
      <c r="D329" s="506"/>
      <c r="E329" s="506"/>
      <c r="F329" s="506"/>
      <c r="G329" s="506"/>
      <c r="H329" s="506"/>
      <c r="I329" s="506"/>
      <c r="J329" s="506"/>
      <c r="K329" s="506"/>
      <c r="L329" s="506"/>
    </row>
    <row r="330" spans="1:12">
      <c r="A330" s="506"/>
      <c r="B330" s="506"/>
      <c r="C330" s="506"/>
      <c r="D330" s="506"/>
      <c r="E330" s="506"/>
      <c r="F330" s="506"/>
      <c r="G330" s="506"/>
      <c r="H330" s="506"/>
      <c r="I330" s="506"/>
      <c r="J330" s="506"/>
      <c r="K330" s="506"/>
      <c r="L330" s="506"/>
    </row>
    <row r="331" spans="1:12">
      <c r="A331" s="506"/>
      <c r="B331" s="506"/>
      <c r="C331" s="506"/>
      <c r="D331" s="506"/>
      <c r="E331" s="506"/>
      <c r="F331" s="506"/>
      <c r="G331" s="506"/>
      <c r="H331" s="506"/>
      <c r="I331" s="506"/>
      <c r="J331" s="506"/>
      <c r="K331" s="506"/>
      <c r="L331" s="506"/>
    </row>
    <row r="332" spans="1:12">
      <c r="A332" s="506"/>
      <c r="B332" s="506"/>
      <c r="C332" s="506"/>
      <c r="D332" s="506"/>
      <c r="E332" s="506"/>
      <c r="F332" s="506"/>
      <c r="G332" s="506"/>
      <c r="H332" s="506"/>
      <c r="I332" s="506"/>
      <c r="J332" s="506"/>
      <c r="K332" s="506"/>
      <c r="L332" s="506"/>
    </row>
    <row r="333" spans="1:12">
      <c r="A333" s="506"/>
      <c r="B333" s="506"/>
      <c r="C333" s="506"/>
      <c r="D333" s="506"/>
      <c r="E333" s="506"/>
      <c r="F333" s="506"/>
      <c r="G333" s="506"/>
      <c r="H333" s="506"/>
      <c r="I333" s="506"/>
      <c r="J333" s="506"/>
      <c r="K333" s="506"/>
      <c r="L333" s="506"/>
    </row>
    <row r="334" spans="1:12">
      <c r="A334" s="506"/>
      <c r="B334" s="506"/>
      <c r="C334" s="506"/>
      <c r="D334" s="506"/>
      <c r="E334" s="506"/>
      <c r="F334" s="506"/>
      <c r="G334" s="506"/>
      <c r="H334" s="506"/>
      <c r="I334" s="506"/>
      <c r="J334" s="506"/>
      <c r="K334" s="506"/>
      <c r="L334" s="506"/>
    </row>
    <row r="335" spans="1:12">
      <c r="A335" s="506"/>
      <c r="B335" s="506"/>
      <c r="C335" s="506"/>
      <c r="D335" s="506"/>
      <c r="E335" s="506"/>
      <c r="F335" s="506"/>
      <c r="G335" s="506"/>
      <c r="H335" s="506"/>
      <c r="I335" s="506"/>
      <c r="J335" s="506"/>
      <c r="K335" s="506"/>
      <c r="L335" s="506"/>
    </row>
    <row r="336" spans="1:12">
      <c r="A336" s="506"/>
      <c r="B336" s="506"/>
      <c r="C336" s="506"/>
      <c r="D336" s="506"/>
      <c r="E336" s="506"/>
      <c r="F336" s="506"/>
      <c r="G336" s="506"/>
      <c r="H336" s="506"/>
      <c r="I336" s="506"/>
      <c r="J336" s="506"/>
      <c r="K336" s="506"/>
      <c r="L336" s="506"/>
    </row>
    <row r="337" spans="1:12">
      <c r="A337" s="506"/>
      <c r="B337" s="506"/>
      <c r="C337" s="506"/>
      <c r="D337" s="506"/>
      <c r="E337" s="506"/>
      <c r="F337" s="506"/>
      <c r="G337" s="506"/>
      <c r="H337" s="506"/>
      <c r="I337" s="506"/>
      <c r="J337" s="506"/>
      <c r="K337" s="506"/>
      <c r="L337" s="506"/>
    </row>
    <row r="338" spans="1:12">
      <c r="A338" s="506"/>
      <c r="B338" s="506"/>
      <c r="C338" s="506"/>
      <c r="D338" s="506"/>
      <c r="E338" s="506"/>
      <c r="F338" s="506"/>
      <c r="G338" s="506"/>
      <c r="H338" s="506"/>
      <c r="I338" s="506"/>
      <c r="J338" s="506"/>
      <c r="K338" s="506"/>
      <c r="L338" s="506"/>
    </row>
    <row r="339" spans="1:12">
      <c r="A339" s="506"/>
      <c r="B339" s="506"/>
      <c r="C339" s="506"/>
      <c r="D339" s="506"/>
      <c r="E339" s="506"/>
      <c r="F339" s="506"/>
      <c r="G339" s="506"/>
      <c r="H339" s="506"/>
      <c r="I339" s="506"/>
      <c r="J339" s="506"/>
      <c r="K339" s="506"/>
      <c r="L339" s="506"/>
    </row>
    <row r="340" spans="1:12">
      <c r="A340" s="506"/>
      <c r="B340" s="506"/>
      <c r="C340" s="506"/>
      <c r="D340" s="506"/>
      <c r="E340" s="506"/>
      <c r="F340" s="506"/>
      <c r="G340" s="506"/>
      <c r="H340" s="506"/>
      <c r="I340" s="506"/>
      <c r="J340" s="506"/>
      <c r="K340" s="506"/>
      <c r="L340" s="506"/>
    </row>
    <row r="341" spans="1:12">
      <c r="A341" s="506"/>
      <c r="B341" s="506"/>
      <c r="C341" s="506"/>
      <c r="D341" s="506"/>
      <c r="E341" s="506"/>
      <c r="F341" s="506"/>
      <c r="G341" s="506"/>
      <c r="H341" s="506"/>
      <c r="I341" s="506"/>
      <c r="J341" s="506"/>
      <c r="K341" s="506"/>
      <c r="L341" s="506"/>
    </row>
    <row r="342" spans="1:12">
      <c r="A342" s="506"/>
      <c r="B342" s="506"/>
      <c r="C342" s="506"/>
      <c r="D342" s="506"/>
      <c r="E342" s="506"/>
      <c r="F342" s="506"/>
      <c r="G342" s="506"/>
      <c r="H342" s="506"/>
      <c r="I342" s="506"/>
      <c r="J342" s="506"/>
      <c r="K342" s="506"/>
      <c r="L342" s="506"/>
    </row>
    <row r="343" spans="1:12">
      <c r="A343" s="506"/>
      <c r="B343" s="506"/>
      <c r="C343" s="506"/>
      <c r="D343" s="506"/>
      <c r="E343" s="506"/>
      <c r="F343" s="506"/>
      <c r="G343" s="506"/>
      <c r="H343" s="506"/>
      <c r="I343" s="506"/>
      <c r="J343" s="506"/>
      <c r="K343" s="506"/>
      <c r="L343" s="506"/>
    </row>
    <row r="344" spans="1:12">
      <c r="A344" s="506"/>
      <c r="B344" s="506"/>
      <c r="C344" s="506"/>
      <c r="D344" s="506"/>
      <c r="E344" s="506"/>
      <c r="F344" s="506"/>
      <c r="G344" s="506"/>
      <c r="H344" s="506"/>
      <c r="I344" s="506"/>
      <c r="J344" s="506"/>
      <c r="K344" s="506"/>
      <c r="L344" s="506"/>
    </row>
    <row r="345" spans="1:12">
      <c r="A345" s="506"/>
      <c r="B345" s="506"/>
      <c r="C345" s="506"/>
      <c r="D345" s="506"/>
      <c r="E345" s="506"/>
      <c r="F345" s="506"/>
      <c r="G345" s="506"/>
      <c r="H345" s="506"/>
      <c r="I345" s="506"/>
      <c r="J345" s="506"/>
      <c r="K345" s="506"/>
      <c r="L345" s="506"/>
    </row>
    <row r="346" spans="1:12">
      <c r="A346" s="506"/>
      <c r="B346" s="506"/>
      <c r="C346" s="506"/>
      <c r="D346" s="506"/>
      <c r="E346" s="506"/>
      <c r="F346" s="506"/>
      <c r="G346" s="506"/>
      <c r="H346" s="506"/>
      <c r="I346" s="506"/>
      <c r="J346" s="506"/>
      <c r="K346" s="506"/>
      <c r="L346" s="506"/>
    </row>
    <row r="347" spans="1:12">
      <c r="A347" s="506"/>
      <c r="B347" s="506"/>
      <c r="C347" s="506"/>
      <c r="D347" s="506"/>
      <c r="E347" s="506"/>
      <c r="F347" s="506"/>
      <c r="G347" s="506"/>
      <c r="H347" s="506"/>
      <c r="I347" s="506"/>
      <c r="J347" s="506"/>
      <c r="K347" s="506"/>
      <c r="L347" s="506"/>
    </row>
    <row r="348" spans="1:12">
      <c r="A348" s="506"/>
      <c r="B348" s="506"/>
      <c r="C348" s="506"/>
      <c r="D348" s="506"/>
      <c r="E348" s="506"/>
      <c r="F348" s="506"/>
      <c r="G348" s="506"/>
      <c r="H348" s="506"/>
      <c r="I348" s="506"/>
      <c r="J348" s="506"/>
      <c r="K348" s="506"/>
      <c r="L348" s="506"/>
    </row>
    <row r="349" spans="1:12">
      <c r="A349" s="506"/>
      <c r="B349" s="506"/>
      <c r="C349" s="506"/>
      <c r="D349" s="506"/>
      <c r="E349" s="506"/>
      <c r="F349" s="506"/>
      <c r="G349" s="506"/>
      <c r="H349" s="506"/>
      <c r="I349" s="506"/>
      <c r="J349" s="506"/>
      <c r="K349" s="506"/>
      <c r="L349" s="506"/>
    </row>
    <row r="350" spans="1:12">
      <c r="A350" s="506"/>
      <c r="B350" s="506"/>
      <c r="C350" s="506"/>
      <c r="D350" s="506"/>
      <c r="E350" s="506"/>
      <c r="F350" s="506"/>
      <c r="G350" s="506"/>
      <c r="H350" s="506"/>
      <c r="I350" s="506"/>
      <c r="J350" s="506"/>
      <c r="K350" s="506"/>
      <c r="L350" s="506"/>
    </row>
    <row r="351" spans="1:12">
      <c r="A351" s="506"/>
      <c r="B351" s="506"/>
      <c r="C351" s="506"/>
      <c r="D351" s="506"/>
      <c r="E351" s="506"/>
      <c r="F351" s="506"/>
      <c r="G351" s="506"/>
      <c r="H351" s="506"/>
      <c r="I351" s="506"/>
      <c r="J351" s="506"/>
      <c r="K351" s="506"/>
      <c r="L351" s="506"/>
    </row>
    <row r="352" spans="1:12">
      <c r="A352" s="506"/>
      <c r="B352" s="506"/>
      <c r="C352" s="506"/>
      <c r="D352" s="506"/>
      <c r="E352" s="506"/>
      <c r="F352" s="506"/>
      <c r="G352" s="506"/>
      <c r="H352" s="506"/>
      <c r="I352" s="506"/>
      <c r="J352" s="506"/>
      <c r="K352" s="506"/>
      <c r="L352" s="506"/>
    </row>
    <row r="353" spans="1:12">
      <c r="A353" s="506"/>
      <c r="B353" s="506"/>
      <c r="C353" s="506"/>
      <c r="D353" s="506"/>
      <c r="E353" s="506"/>
      <c r="F353" s="506"/>
      <c r="G353" s="506"/>
      <c r="H353" s="506"/>
      <c r="I353" s="506"/>
      <c r="J353" s="506"/>
      <c r="K353" s="506"/>
      <c r="L353" s="506"/>
    </row>
    <row r="354" spans="1:12">
      <c r="A354" s="506"/>
      <c r="B354" s="506"/>
      <c r="C354" s="506"/>
      <c r="D354" s="506"/>
      <c r="E354" s="506"/>
      <c r="F354" s="506"/>
      <c r="G354" s="506"/>
      <c r="H354" s="506"/>
      <c r="I354" s="506"/>
      <c r="J354" s="506"/>
      <c r="K354" s="506"/>
      <c r="L354" s="506"/>
    </row>
  </sheetData>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7" t="s">
        <v>643</v>
      </c>
    </row>
    <row r="3" spans="1:1" ht="31.5">
      <c r="A3" s="508" t="s">
        <v>644</v>
      </c>
    </row>
    <row r="4" spans="1:1" ht="15.75">
      <c r="A4" s="509" t="s">
        <v>645</v>
      </c>
    </row>
    <row r="7" spans="1:1" ht="31.5">
      <c r="A7" s="508" t="s">
        <v>646</v>
      </c>
    </row>
    <row r="8" spans="1:1" ht="15.75">
      <c r="A8" s="509" t="s">
        <v>647</v>
      </c>
    </row>
    <row r="11" spans="1:1" ht="15.75">
      <c r="A11" s="510" t="s">
        <v>648</v>
      </c>
    </row>
    <row r="12" spans="1:1" ht="15.75">
      <c r="A12" s="509" t="s">
        <v>649</v>
      </c>
    </row>
    <row r="15" spans="1:1" ht="15.75">
      <c r="A15" s="510" t="s">
        <v>650</v>
      </c>
    </row>
    <row r="16" spans="1:1" ht="15.75">
      <c r="A16" s="509" t="s">
        <v>651</v>
      </c>
    </row>
    <row r="19" spans="1:1" ht="15.75">
      <c r="A19" s="510" t="s">
        <v>652</v>
      </c>
    </row>
    <row r="20" spans="1:1" ht="15.75">
      <c r="A20" s="509" t="s">
        <v>653</v>
      </c>
    </row>
    <row r="23" spans="1:1" ht="15.75">
      <c r="A23" s="510" t="s">
        <v>654</v>
      </c>
    </row>
    <row r="24" spans="1:1" ht="15.75">
      <c r="A24" s="509" t="s">
        <v>655</v>
      </c>
    </row>
    <row r="27" spans="1:1" ht="15.75">
      <c r="A27" s="510" t="s">
        <v>656</v>
      </c>
    </row>
    <row r="28" spans="1:1" ht="15.75">
      <c r="A28" s="509" t="s">
        <v>657</v>
      </c>
    </row>
    <row r="31" spans="1:1" ht="15.75">
      <c r="A31" s="510" t="s">
        <v>658</v>
      </c>
    </row>
    <row r="32" spans="1:1" ht="15.75">
      <c r="A32" s="509" t="s">
        <v>659</v>
      </c>
    </row>
    <row r="35" spans="1:1" ht="15.75">
      <c r="A35" s="510" t="s">
        <v>660</v>
      </c>
    </row>
    <row r="36" spans="1:1" ht="15.75">
      <c r="A36" s="509" t="s">
        <v>661</v>
      </c>
    </row>
    <row r="39" spans="1:1" ht="15.75">
      <c r="A39" s="510" t="s">
        <v>662</v>
      </c>
    </row>
    <row r="40" spans="1:1" ht="15.75">
      <c r="A40" s="509" t="s">
        <v>663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0" t="s">
        <v>726</v>
      </c>
    </row>
    <row r="2" spans="1:1">
      <c r="A2" s="572" t="s">
        <v>727</v>
      </c>
    </row>
    <row r="3" spans="1:1">
      <c r="A3" s="572" t="s">
        <v>728</v>
      </c>
    </row>
    <row r="5" spans="1:1">
      <c r="A5" s="370" t="s">
        <v>680</v>
      </c>
    </row>
    <row r="6" spans="1:1">
      <c r="A6" s="572" t="s">
        <v>681</v>
      </c>
    </row>
    <row r="7" spans="1:1">
      <c r="A7" s="572" t="s">
        <v>682</v>
      </c>
    </row>
    <row r="8" spans="1:1" ht="31.5">
      <c r="A8" s="573" t="s">
        <v>722</v>
      </c>
    </row>
    <row r="9" spans="1:1">
      <c r="A9" s="572" t="s">
        <v>683</v>
      </c>
    </row>
    <row r="10" spans="1:1">
      <c r="A10" s="572" t="s">
        <v>684</v>
      </c>
    </row>
    <row r="11" spans="1:1">
      <c r="A11" s="572" t="s">
        <v>685</v>
      </c>
    </row>
    <row r="12" spans="1:1">
      <c r="A12" s="572" t="s">
        <v>686</v>
      </c>
    </row>
    <row r="13" spans="1:1">
      <c r="A13" s="572" t="s">
        <v>687</v>
      </c>
    </row>
    <row r="14" spans="1:1">
      <c r="A14" s="572" t="s">
        <v>688</v>
      </c>
    </row>
    <row r="15" spans="1:1">
      <c r="A15" s="572" t="s">
        <v>689</v>
      </c>
    </row>
    <row r="16" spans="1:1">
      <c r="A16" s="572" t="s">
        <v>690</v>
      </c>
    </row>
    <row r="17" spans="1:1">
      <c r="A17" s="572" t="s">
        <v>691</v>
      </c>
    </row>
    <row r="18" spans="1:1">
      <c r="A18" s="572" t="s">
        <v>692</v>
      </c>
    </row>
    <row r="19" spans="1:1">
      <c r="A19" s="572" t="s">
        <v>693</v>
      </c>
    </row>
    <row r="20" spans="1:1">
      <c r="A20" s="572" t="s">
        <v>694</v>
      </c>
    </row>
    <row r="21" spans="1:1">
      <c r="A21" s="572" t="s">
        <v>695</v>
      </c>
    </row>
    <row r="22" spans="1:1">
      <c r="A22" s="572" t="s">
        <v>696</v>
      </c>
    </row>
    <row r="23" spans="1:1">
      <c r="A23" s="572" t="s">
        <v>697</v>
      </c>
    </row>
    <row r="24" spans="1:1">
      <c r="A24" s="572" t="s">
        <v>698</v>
      </c>
    </row>
    <row r="25" spans="1:1">
      <c r="A25" s="572" t="s">
        <v>699</v>
      </c>
    </row>
    <row r="26" spans="1:1">
      <c r="A26" s="572" t="s">
        <v>700</v>
      </c>
    </row>
    <row r="27" spans="1:1">
      <c r="A27" s="572" t="s">
        <v>701</v>
      </c>
    </row>
    <row r="28" spans="1:1">
      <c r="A28" s="572" t="s">
        <v>723</v>
      </c>
    </row>
    <row r="30" spans="1:1">
      <c r="A30" s="370" t="s">
        <v>564</v>
      </c>
    </row>
    <row r="31" spans="1:1">
      <c r="A31" s="92" t="s">
        <v>567</v>
      </c>
    </row>
    <row r="32" spans="1:1">
      <c r="A32" s="92" t="s">
        <v>565</v>
      </c>
    </row>
    <row r="33" spans="1:1">
      <c r="A33" s="92" t="s">
        <v>566</v>
      </c>
    </row>
    <row r="35" spans="1:1">
      <c r="A35" s="383" t="s">
        <v>556</v>
      </c>
    </row>
    <row r="36" spans="1:1">
      <c r="A36" s="92" t="s">
        <v>563</v>
      </c>
    </row>
    <row r="38" spans="1:1">
      <c r="A38" s="370" t="s">
        <v>329</v>
      </c>
    </row>
    <row r="39" spans="1:1">
      <c r="A39" s="371" t="s">
        <v>330</v>
      </c>
    </row>
    <row r="40" spans="1:1">
      <c r="A40" s="371" t="s">
        <v>331</v>
      </c>
    </row>
    <row r="41" spans="1:1">
      <c r="A41" s="371" t="s">
        <v>332</v>
      </c>
    </row>
    <row r="42" spans="1:1">
      <c r="A42" s="92" t="s">
        <v>333</v>
      </c>
    </row>
    <row r="44" spans="1:1">
      <c r="A44" s="329" t="s">
        <v>285</v>
      </c>
    </row>
    <row r="45" spans="1:1">
      <c r="A45" s="92" t="s">
        <v>276</v>
      </c>
    </row>
    <row r="46" spans="1:1">
      <c r="A46" s="92" t="s">
        <v>277</v>
      </c>
    </row>
    <row r="47" spans="1:1">
      <c r="A47" s="92" t="s">
        <v>278</v>
      </c>
    </row>
    <row r="48" spans="1:1">
      <c r="A48" s="92" t="s">
        <v>279</v>
      </c>
    </row>
    <row r="49" spans="1:1">
      <c r="A49" s="92" t="s">
        <v>280</v>
      </c>
    </row>
    <row r="50" spans="1:1">
      <c r="A50" s="92" t="s">
        <v>281</v>
      </c>
    </row>
    <row r="51" spans="1:1">
      <c r="A51" s="92" t="s">
        <v>298</v>
      </c>
    </row>
    <row r="52" spans="1:1">
      <c r="A52" s="92" t="s">
        <v>299</v>
      </c>
    </row>
    <row r="53" spans="1:1">
      <c r="A53" s="92" t="s">
        <v>300</v>
      </c>
    </row>
    <row r="54" spans="1:1">
      <c r="A54" s="92" t="s">
        <v>301</v>
      </c>
    </row>
    <row r="55" spans="1:1">
      <c r="A55" s="92" t="s">
        <v>302</v>
      </c>
    </row>
    <row r="56" spans="1:1">
      <c r="A56" s="92" t="s">
        <v>303</v>
      </c>
    </row>
    <row r="58" spans="1:1">
      <c r="A58" s="329" t="s">
        <v>271</v>
      </c>
    </row>
    <row r="59" spans="1:1">
      <c r="A59" s="92" t="s">
        <v>282</v>
      </c>
    </row>
    <row r="60" spans="1:1">
      <c r="A60" s="92" t="s">
        <v>272</v>
      </c>
    </row>
    <row r="61" spans="1:1">
      <c r="A61" s="92" t="s">
        <v>273</v>
      </c>
    </row>
    <row r="63" spans="1:1">
      <c r="A63" s="329" t="s">
        <v>267</v>
      </c>
    </row>
    <row r="64" spans="1:1">
      <c r="A64" s="92" t="s">
        <v>268</v>
      </c>
    </row>
    <row r="65" spans="1:1">
      <c r="A65" s="92" t="s">
        <v>269</v>
      </c>
    </row>
    <row r="67" spans="1:1">
      <c r="A67" s="329" t="s">
        <v>248</v>
      </c>
    </row>
    <row r="68" spans="1:1">
      <c r="A68" s="92" t="s">
        <v>249</v>
      </c>
    </row>
    <row r="69" spans="1:1" ht="36" customHeight="1">
      <c r="A69" s="330" t="s">
        <v>250</v>
      </c>
    </row>
    <row r="70" spans="1:1">
      <c r="A70" s="92" t="s">
        <v>251</v>
      </c>
    </row>
    <row r="71" spans="1:1" ht="18.75" customHeight="1">
      <c r="A71" s="92" t="s">
        <v>252</v>
      </c>
    </row>
    <row r="72" spans="1:1">
      <c r="A72" s="92" t="s">
        <v>253</v>
      </c>
    </row>
    <row r="73" spans="1:1" ht="24.75" customHeight="1">
      <c r="A73" s="92" t="s">
        <v>254</v>
      </c>
    </row>
    <row r="74" spans="1:1" ht="39" customHeight="1">
      <c r="A74" s="330" t="s">
        <v>255</v>
      </c>
    </row>
    <row r="75" spans="1:1" ht="38.25" customHeight="1">
      <c r="A75" s="330" t="s">
        <v>256</v>
      </c>
    </row>
    <row r="76" spans="1:1" ht="37.5" customHeight="1">
      <c r="A76" s="330" t="s">
        <v>257</v>
      </c>
    </row>
    <row r="77" spans="1:1" ht="21" customHeight="1">
      <c r="A77" s="330" t="s">
        <v>258</v>
      </c>
    </row>
    <row r="78" spans="1:1" ht="35.25" customHeight="1">
      <c r="A78" s="330" t="s">
        <v>259</v>
      </c>
    </row>
    <row r="79" spans="1:1">
      <c r="A79" s="92" t="s">
        <v>260</v>
      </c>
    </row>
    <row r="80" spans="1:1">
      <c r="A80" s="92" t="s">
        <v>261</v>
      </c>
    </row>
    <row r="81" spans="1:1">
      <c r="A81" s="92" t="s">
        <v>262</v>
      </c>
    </row>
    <row r="82" spans="1:1">
      <c r="A82" s="92" t="s">
        <v>263</v>
      </c>
    </row>
    <row r="83" spans="1:1">
      <c r="A83" s="92" t="s">
        <v>264</v>
      </c>
    </row>
    <row r="86" spans="1:1">
      <c r="A86" s="329" t="s">
        <v>171</v>
      </c>
    </row>
    <row r="87" spans="1:1">
      <c r="A87" s="92" t="s">
        <v>180</v>
      </c>
    </row>
    <row r="88" spans="1:1">
      <c r="A88" s="92" t="s">
        <v>181</v>
      </c>
    </row>
    <row r="89" spans="1:1">
      <c r="A89" s="92" t="s">
        <v>182</v>
      </c>
    </row>
    <row r="90" spans="1:1">
      <c r="A90" s="92" t="s">
        <v>195</v>
      </c>
    </row>
    <row r="91" spans="1:1">
      <c r="A91" s="92" t="s">
        <v>183</v>
      </c>
    </row>
    <row r="92" spans="1:1">
      <c r="A92" s="92" t="s">
        <v>184</v>
      </c>
    </row>
    <row r="93" spans="1:1">
      <c r="A93" s="92" t="s">
        <v>185</v>
      </c>
    </row>
    <row r="94" spans="1:1">
      <c r="A94" s="92" t="s">
        <v>186</v>
      </c>
    </row>
    <row r="95" spans="1:1">
      <c r="A95" s="92" t="s">
        <v>196</v>
      </c>
    </row>
    <row r="96" spans="1:1">
      <c r="A96" s="92" t="s">
        <v>187</v>
      </c>
    </row>
    <row r="97" spans="1:1">
      <c r="A97" s="92" t="s">
        <v>188</v>
      </c>
    </row>
    <row r="98" spans="1:1">
      <c r="A98" s="92" t="s">
        <v>189</v>
      </c>
    </row>
    <row r="99" spans="1:1">
      <c r="A99" s="92" t="s">
        <v>197</v>
      </c>
    </row>
    <row r="100" spans="1:1">
      <c r="A100" s="92" t="s">
        <v>198</v>
      </c>
    </row>
    <row r="101" spans="1:1">
      <c r="A101" s="92" t="s">
        <v>204</v>
      </c>
    </row>
    <row r="102" spans="1:1">
      <c r="A102" s="92" t="s">
        <v>283</v>
      </c>
    </row>
    <row r="103" spans="1:1">
      <c r="A103" s="92" t="s">
        <v>0</v>
      </c>
    </row>
    <row r="104" spans="1:1">
      <c r="A104" s="92" t="s">
        <v>1</v>
      </c>
    </row>
    <row r="105" spans="1:1">
      <c r="A105" s="92" t="s">
        <v>2</v>
      </c>
    </row>
    <row r="106" spans="1:1">
      <c r="A106" s="92" t="s">
        <v>284</v>
      </c>
    </row>
    <row r="107" spans="1:1">
      <c r="A107" s="92" t="s">
        <v>213</v>
      </c>
    </row>
    <row r="108" spans="1:1">
      <c r="A108" s="92" t="s">
        <v>214</v>
      </c>
    </row>
    <row r="109" spans="1:1">
      <c r="A109" s="92" t="s">
        <v>3</v>
      </c>
    </row>
    <row r="110" spans="1:1">
      <c r="A110" s="92" t="s">
        <v>4</v>
      </c>
    </row>
    <row r="111" spans="1:1">
      <c r="A111" s="92" t="s">
        <v>222</v>
      </c>
    </row>
    <row r="112" spans="1:1">
      <c r="A112" s="92" t="s">
        <v>223</v>
      </c>
    </row>
    <row r="113" spans="1:1">
      <c r="A113" s="92" t="s">
        <v>228</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topLeftCell="A19" workbookViewId="0">
      <selection activeCell="B43" sqref="B43"/>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Ohio/Princeton Fire</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7" t="s">
        <v>190</v>
      </c>
      <c r="B4" s="578"/>
      <c r="C4" s="578"/>
      <c r="D4" s="578"/>
      <c r="E4" s="578"/>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6574673</v>
      </c>
    </row>
    <row r="8" spans="1:5" ht="15.75">
      <c r="A8" s="62" t="str">
        <f>CONCATENATE("New Improvements for ",inputPrYr!D6-1,"")</f>
        <v>New Improvements for 2013</v>
      </c>
      <c r="B8" s="63"/>
      <c r="C8" s="63"/>
      <c r="D8" s="63"/>
      <c r="E8" s="64">
        <v>36263</v>
      </c>
    </row>
    <row r="9" spans="1:5" ht="15.75">
      <c r="A9" s="62" t="str">
        <f>CONCATENATE("Personal Property excluding oil, gas, and mobile homes- ",inputPrYr!D6-1,"")</f>
        <v>Personal Property excluding oil, gas, and mobile homes- 2013</v>
      </c>
      <c r="B9" s="63"/>
      <c r="C9" s="63"/>
      <c r="D9" s="63"/>
      <c r="E9" s="64">
        <v>125508</v>
      </c>
    </row>
    <row r="10" spans="1:5" ht="15.75">
      <c r="A10" s="62" t="str">
        <f>CONCATENATE("Property that has changed in use for ",inputPrYr!D6-1,"")</f>
        <v>Property that has changed in use for 2013</v>
      </c>
      <c r="B10" s="63"/>
      <c r="C10" s="63"/>
      <c r="D10" s="63"/>
      <c r="E10" s="64">
        <v>42497</v>
      </c>
    </row>
    <row r="11" spans="1:5" ht="15.75">
      <c r="A11" s="61" t="str">
        <f>CONCATENATE("Personal Property excluding oil, gas, and mobile homes- ",inputPrYr!D6-2,"")</f>
        <v>Personal Property excluding oil, gas, and mobile homes- 2012</v>
      </c>
      <c r="B11" s="42"/>
      <c r="C11" s="42"/>
      <c r="D11" s="42"/>
      <c r="E11" s="64">
        <v>116104</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7" t="s">
        <v>26</v>
      </c>
      <c r="B15" s="582"/>
      <c r="C15" s="58"/>
      <c r="D15" s="69" t="s">
        <v>59</v>
      </c>
      <c r="E15" s="68"/>
    </row>
    <row r="16" spans="1:5" ht="15.75">
      <c r="A16" s="61" t="s">
        <v>10</v>
      </c>
      <c r="B16" s="42"/>
      <c r="C16" s="65"/>
      <c r="D16" s="70">
        <v>4.9029999999999996</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200</v>
      </c>
      <c r="C22" s="74"/>
      <c r="D22" s="75">
        <f>SUM(D16:D21)</f>
        <v>4.9029999999999996</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6467722</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4481</v>
      </c>
    </row>
    <row r="28" spans="1:5" ht="15.75">
      <c r="A28" s="62" t="s">
        <v>15</v>
      </c>
      <c r="B28" s="63"/>
      <c r="C28" s="63"/>
      <c r="D28" s="80"/>
      <c r="E28" s="37">
        <v>120</v>
      </c>
    </row>
    <row r="29" spans="1:5" ht="15.75">
      <c r="A29" s="62" t="s">
        <v>165</v>
      </c>
      <c r="B29" s="63"/>
      <c r="C29" s="63"/>
      <c r="D29" s="80"/>
      <c r="E29" s="37">
        <v>358</v>
      </c>
    </row>
    <row r="30" spans="1:5" ht="15.75">
      <c r="A30" s="62" t="s">
        <v>153</v>
      </c>
      <c r="B30" s="63"/>
      <c r="C30" s="63"/>
      <c r="D30" s="80"/>
      <c r="E30" s="37"/>
    </row>
    <row r="31" spans="1:5" ht="15.75">
      <c r="A31" s="62" t="s">
        <v>154</v>
      </c>
      <c r="B31" s="63"/>
      <c r="C31" s="63"/>
      <c r="D31" s="80"/>
      <c r="E31" s="37"/>
    </row>
    <row r="32" spans="1:5" ht="15.75">
      <c r="A32" s="61"/>
      <c r="B32" s="42"/>
      <c r="C32" s="42"/>
      <c r="D32" s="79"/>
      <c r="E32" s="37"/>
    </row>
    <row r="33" spans="1:5" ht="15.75">
      <c r="A33" s="18" t="s">
        <v>166</v>
      </c>
      <c r="B33" s="18"/>
      <c r="C33" s="18"/>
      <c r="D33" s="18"/>
      <c r="E33" s="18"/>
    </row>
    <row r="34" spans="1:5" ht="15.75">
      <c r="A34" s="81" t="s">
        <v>109</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201</v>
      </c>
      <c r="B36" s="82"/>
      <c r="C36" s="65"/>
      <c r="D36" s="65"/>
      <c r="E36" s="402"/>
    </row>
    <row r="37" spans="1:5" ht="15.75">
      <c r="A37" s="84" t="s">
        <v>167</v>
      </c>
      <c r="B37" s="84"/>
      <c r="C37" s="85"/>
      <c r="D37" s="85"/>
      <c r="E37" s="86"/>
    </row>
    <row r="38" spans="1:5">
      <c r="A38" s="58"/>
      <c r="B38" s="58"/>
      <c r="C38" s="58"/>
      <c r="D38" s="58"/>
      <c r="E38" s="58"/>
    </row>
    <row r="39" spans="1:5" ht="15.75">
      <c r="A39" s="588" t="str">
        <f>CONCATENATE("From the ",E1-2," Budget Certificate Page")</f>
        <v>From the 2012 Budget Certificate Page</v>
      </c>
      <c r="B39" s="589"/>
      <c r="C39" s="58"/>
      <c r="D39" s="58"/>
      <c r="E39" s="58"/>
    </row>
    <row r="40" spans="1:5" ht="15.75">
      <c r="A40" s="87"/>
      <c r="B40" s="87" t="str">
        <f>CONCATENATE("",E1-2," Expenditure Amounts")</f>
        <v>2012 Expenditure Amounts</v>
      </c>
      <c r="C40" s="590" t="str">
        <f>CONCATENATE("Note: If the ",E1-2," budget was amended, then the")</f>
        <v>Note: If the 2012 budget was amended, then the</v>
      </c>
      <c r="D40" s="591"/>
      <c r="E40" s="591"/>
    </row>
    <row r="41" spans="1:5" ht="15.75">
      <c r="A41" s="88" t="s">
        <v>209</v>
      </c>
      <c r="B41" s="88" t="s">
        <v>210</v>
      </c>
      <c r="C41" s="89" t="s">
        <v>211</v>
      </c>
      <c r="D41" s="90"/>
      <c r="E41" s="90"/>
    </row>
    <row r="42" spans="1:5" ht="15.75">
      <c r="A42" s="91" t="str">
        <f>inputPrYr!B19</f>
        <v>General</v>
      </c>
      <c r="B42" s="55">
        <v>39600</v>
      </c>
      <c r="C42" s="89" t="s">
        <v>212</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8" sqref="B8"/>
    </sheetView>
  </sheetViews>
  <sheetFormatPr defaultRowHeight="15"/>
  <cols>
    <col min="1" max="1" width="13.77734375" customWidth="1"/>
    <col min="2" max="2" width="16.109375" customWidth="1"/>
  </cols>
  <sheetData>
    <row r="2" spans="1:6" ht="54" customHeight="1">
      <c r="A2" s="592" t="s">
        <v>318</v>
      </c>
      <c r="B2" s="593"/>
      <c r="C2" s="593"/>
      <c r="D2" s="593"/>
      <c r="E2" s="593"/>
      <c r="F2" s="593"/>
    </row>
    <row r="4" spans="1:6" ht="15.75">
      <c r="A4" s="355"/>
      <c r="B4" s="355"/>
      <c r="C4" s="355"/>
      <c r="D4" s="356"/>
      <c r="E4" s="355"/>
      <c r="F4" s="355"/>
    </row>
    <row r="5" spans="1:6" ht="15.75">
      <c r="A5" s="357" t="s">
        <v>319</v>
      </c>
      <c r="B5" s="358" t="s">
        <v>753</v>
      </c>
      <c r="C5" s="359"/>
      <c r="D5" s="357" t="s">
        <v>725</v>
      </c>
      <c r="E5" s="355"/>
      <c r="F5" s="355"/>
    </row>
    <row r="6" spans="1:6" ht="15.75">
      <c r="A6" s="357"/>
      <c r="B6" s="360"/>
      <c r="C6" s="361"/>
      <c r="D6" s="357" t="s">
        <v>724</v>
      </c>
      <c r="E6" s="355"/>
      <c r="F6" s="355"/>
    </row>
    <row r="7" spans="1:6" ht="15.75">
      <c r="A7" s="357" t="s">
        <v>320</v>
      </c>
      <c r="B7" s="358" t="s">
        <v>754</v>
      </c>
      <c r="C7" s="362"/>
      <c r="D7" s="357"/>
      <c r="E7" s="355"/>
      <c r="F7" s="355"/>
    </row>
    <row r="8" spans="1:6" ht="15.75">
      <c r="A8" s="357"/>
      <c r="B8" s="357"/>
      <c r="C8" s="357"/>
      <c r="D8" s="357"/>
      <c r="E8" s="355"/>
      <c r="F8" s="355"/>
    </row>
    <row r="9" spans="1:6" ht="15.75">
      <c r="A9" s="357" t="s">
        <v>321</v>
      </c>
      <c r="B9" s="363" t="s">
        <v>736</v>
      </c>
      <c r="C9" s="363"/>
      <c r="D9" s="363"/>
      <c r="E9" s="364"/>
      <c r="F9" s="355"/>
    </row>
    <row r="10" spans="1:6" ht="15.75">
      <c r="A10" s="357"/>
      <c r="B10" s="357"/>
      <c r="C10" s="357"/>
      <c r="D10" s="357"/>
      <c r="E10" s="355"/>
      <c r="F10" s="355"/>
    </row>
    <row r="11" spans="1:6" ht="15.75">
      <c r="A11" s="357"/>
      <c r="B11" s="357"/>
      <c r="C11" s="357"/>
      <c r="D11" s="357"/>
      <c r="E11" s="355"/>
      <c r="F11" s="355"/>
    </row>
    <row r="12" spans="1:6" ht="15.75">
      <c r="A12" s="357" t="s">
        <v>322</v>
      </c>
      <c r="B12" s="363" t="s">
        <v>730</v>
      </c>
      <c r="C12" s="363"/>
      <c r="D12" s="363"/>
      <c r="E12" s="364"/>
      <c r="F12" s="355"/>
    </row>
    <row r="15" spans="1:6" ht="15.75">
      <c r="A15" s="594" t="s">
        <v>323</v>
      </c>
      <c r="B15" s="594"/>
      <c r="C15" s="357"/>
      <c r="D15" s="357"/>
      <c r="E15" s="357"/>
      <c r="F15" s="355"/>
    </row>
    <row r="16" spans="1:6" ht="15.75">
      <c r="A16" s="357"/>
      <c r="B16" s="357"/>
      <c r="C16" s="357"/>
      <c r="D16" s="357"/>
      <c r="E16" s="357"/>
      <c r="F16" s="355"/>
    </row>
    <row r="17" spans="1:5" ht="15.75">
      <c r="A17" s="357" t="s">
        <v>319</v>
      </c>
      <c r="B17" s="360" t="s">
        <v>324</v>
      </c>
      <c r="C17" s="357"/>
      <c r="D17" s="357"/>
      <c r="E17" s="357"/>
    </row>
    <row r="18" spans="1:5" ht="15.75">
      <c r="A18" s="357"/>
      <c r="B18" s="357"/>
      <c r="C18" s="357"/>
      <c r="D18" s="357"/>
      <c r="E18" s="357"/>
    </row>
    <row r="19" spans="1:5" ht="15.75">
      <c r="A19" s="357" t="s">
        <v>320</v>
      </c>
      <c r="B19" s="357" t="s">
        <v>325</v>
      </c>
      <c r="C19" s="357"/>
      <c r="D19" s="357"/>
      <c r="E19" s="357"/>
    </row>
    <row r="20" spans="1:5" ht="15.75">
      <c r="A20" s="357"/>
      <c r="B20" s="357"/>
      <c r="C20" s="357"/>
      <c r="D20" s="357"/>
      <c r="E20" s="357"/>
    </row>
    <row r="21" spans="1:5" ht="15.75">
      <c r="A21" s="357" t="s">
        <v>321</v>
      </c>
      <c r="B21" s="357" t="s">
        <v>327</v>
      </c>
      <c r="C21" s="357"/>
      <c r="D21" s="357"/>
      <c r="E21" s="357"/>
    </row>
    <row r="22" spans="1:5" ht="15.75">
      <c r="A22" s="357"/>
      <c r="B22" s="357"/>
      <c r="C22" s="357"/>
      <c r="D22" s="357"/>
      <c r="E22" s="357"/>
    </row>
    <row r="23" spans="1:5" ht="15.75">
      <c r="A23" s="357" t="s">
        <v>322</v>
      </c>
      <c r="B23" s="357" t="s">
        <v>326</v>
      </c>
      <c r="C23" s="357"/>
      <c r="D23" s="357"/>
      <c r="E23" s="357"/>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tabSelected="1" topLeftCell="A10" workbookViewId="0">
      <selection activeCell="G30" sqref="G30"/>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8" t="s">
        <v>77</v>
      </c>
      <c r="B2" s="598"/>
      <c r="C2" s="598"/>
      <c r="D2" s="598"/>
      <c r="E2" s="598"/>
      <c r="F2" s="598"/>
      <c r="G2" s="598"/>
    </row>
    <row r="3" spans="1:8">
      <c r="A3" s="18"/>
      <c r="B3" s="18"/>
      <c r="C3" s="18"/>
      <c r="D3" s="18"/>
      <c r="E3" s="18"/>
      <c r="F3" s="18"/>
      <c r="G3" s="56">
        <f>inputPrYr!D6</f>
        <v>2014</v>
      </c>
    </row>
    <row r="4" spans="1:8">
      <c r="A4" s="599" t="str">
        <f>CONCATENATE("To the Clerk of ",inputPrYr!D4,", State of Kansas")</f>
        <v>To the Clerk of Franklin County, State of Kansas</v>
      </c>
      <c r="B4" s="599"/>
      <c r="C4" s="599"/>
      <c r="D4" s="599"/>
      <c r="E4" s="599"/>
      <c r="F4" s="599"/>
      <c r="G4" s="599"/>
    </row>
    <row r="5" spans="1:8">
      <c r="A5" s="94" t="s">
        <v>150</v>
      </c>
      <c r="B5" s="26"/>
      <c r="C5" s="26"/>
      <c r="D5" s="26"/>
      <c r="E5" s="26"/>
      <c r="F5" s="26"/>
      <c r="G5" s="26"/>
    </row>
    <row r="6" spans="1:8">
      <c r="A6" s="579" t="str">
        <f>inputPrYr!D3</f>
        <v>Ohio/Princeton Fire</v>
      </c>
      <c r="B6" s="579"/>
      <c r="C6" s="579"/>
      <c r="D6" s="579"/>
      <c r="E6" s="579"/>
      <c r="F6" s="579"/>
      <c r="G6" s="579"/>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600" t="str">
        <f>CONCATENATE("",G3," Adopted Budget")</f>
        <v>2014 Adopted Budget</v>
      </c>
      <c r="F13" s="601"/>
      <c r="G13" s="602"/>
    </row>
    <row r="14" spans="1:8">
      <c r="A14" s="17"/>
      <c r="B14" s="18"/>
      <c r="C14" s="18"/>
      <c r="D14" s="42"/>
      <c r="E14" s="97" t="s">
        <v>18</v>
      </c>
      <c r="F14" s="98"/>
      <c r="G14" s="99" t="s">
        <v>19</v>
      </c>
      <c r="H14" s="100"/>
    </row>
    <row r="15" spans="1:8">
      <c r="A15" s="18"/>
      <c r="B15" s="18"/>
      <c r="C15" s="18"/>
      <c r="D15" s="98" t="s">
        <v>20</v>
      </c>
      <c r="E15" s="101" t="s">
        <v>210</v>
      </c>
      <c r="F15" s="603" t="str">
        <f>CONCATENATE("Amount of ",G3-1," Ad Valorem Tax")</f>
        <v>Amount of 2013 Ad Valorem Tax</v>
      </c>
      <c r="G15" s="99" t="s">
        <v>21</v>
      </c>
    </row>
    <row r="16" spans="1:8">
      <c r="A16" s="17" t="s">
        <v>22</v>
      </c>
      <c r="B16" s="18"/>
      <c r="C16" s="18"/>
      <c r="D16" s="101" t="s">
        <v>23</v>
      </c>
      <c r="E16" s="101" t="s">
        <v>568</v>
      </c>
      <c r="F16" s="603"/>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206</v>
      </c>
      <c r="B19" s="102"/>
      <c r="C19" s="102"/>
      <c r="D19" s="107">
        <v>3</v>
      </c>
      <c r="E19" s="96"/>
      <c r="F19" s="96"/>
      <c r="G19" s="108"/>
    </row>
    <row r="20" spans="1:7">
      <c r="A20" s="109" t="s">
        <v>142</v>
      </c>
      <c r="B20" s="102"/>
      <c r="C20" s="102"/>
      <c r="D20" s="110">
        <v>4</v>
      </c>
      <c r="E20" s="96"/>
      <c r="F20" s="96"/>
      <c r="G20" s="108"/>
    </row>
    <row r="21" spans="1:7">
      <c r="A21" s="106" t="s">
        <v>141</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80-1546</v>
      </c>
      <c r="D23" s="116">
        <v>6</v>
      </c>
      <c r="E23" s="117">
        <f>IF(gen!$E$50&lt;&gt;0,gen!$E$50,"  ")</f>
        <v>49488</v>
      </c>
      <c r="F23" s="117">
        <f>IF(gen!$E$57&lt;&gt;0,gen!$E$57,"  ")</f>
        <v>32138.080000000002</v>
      </c>
      <c r="G23" s="118">
        <v>4.8769999999999998</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Non-Budgeted Funds</v>
      </c>
      <c r="B28" s="123"/>
      <c r="C28" s="99"/>
      <c r="D28" s="116">
        <f>IF(NonBud!F33&gt;0,NonBud!F33,"")</f>
        <v>7</v>
      </c>
      <c r="E28" s="124"/>
      <c r="F28" s="125"/>
      <c r="G28" s="126"/>
    </row>
    <row r="29" spans="1:7">
      <c r="A29" s="127" t="s">
        <v>132</v>
      </c>
      <c r="B29" s="63"/>
      <c r="C29" s="112"/>
      <c r="D29" s="128" t="s">
        <v>28</v>
      </c>
      <c r="E29" s="403">
        <f>SUM(E23:E27)</f>
        <v>49488</v>
      </c>
      <c r="F29" s="404">
        <f>SUM(F23:F27)</f>
        <v>32138.080000000002</v>
      </c>
      <c r="G29" s="408">
        <v>4.8769999999999998</v>
      </c>
    </row>
    <row r="30" spans="1:7">
      <c r="A30" s="115" t="s">
        <v>199</v>
      </c>
      <c r="B30" s="63"/>
      <c r="C30" s="112"/>
      <c r="D30" s="131">
        <f>summ!E26</f>
        <v>8</v>
      </c>
      <c r="E30" s="135" t="s">
        <v>194</v>
      </c>
      <c r="F30" s="407" t="str">
        <f>IF(F29&gt;computation!J34,"Yes","No")</f>
        <v>No</v>
      </c>
      <c r="G30" s="409" t="s">
        <v>133</v>
      </c>
    </row>
    <row r="31" spans="1:7">
      <c r="A31" s="115" t="s">
        <v>217</v>
      </c>
      <c r="B31" s="133"/>
      <c r="C31" s="134"/>
      <c r="D31" s="131" t="str">
        <f>IF(Nhood!C35=0,"",Nhood!C35)</f>
        <v/>
      </c>
      <c r="E31" s="405"/>
      <c r="F31" s="65"/>
      <c r="G31" s="140">
        <v>6589181</v>
      </c>
    </row>
    <row r="32" spans="1:7">
      <c r="A32" s="136" t="s">
        <v>193</v>
      </c>
      <c r="B32" s="63"/>
      <c r="C32" s="112"/>
      <c r="D32" s="131" t="str">
        <f>IF(Resolution!E45=0,"",Resolution!E45)</f>
        <v/>
      </c>
      <c r="E32" s="56"/>
      <c r="F32" s="65"/>
      <c r="G32" s="604" t="str">
        <f>CONCATENATE("Nov. 1, ",G3," Total Assessed Valuation")</f>
        <v>Nov. 1, 2014 Total Assessed Valuation</v>
      </c>
    </row>
    <row r="33" spans="1:7">
      <c r="A33" s="21"/>
      <c r="B33" s="65"/>
      <c r="C33" s="18"/>
      <c r="D33" s="137"/>
      <c r="E33" s="56"/>
      <c r="F33" s="65"/>
      <c r="G33" s="605"/>
    </row>
    <row r="34" spans="1:7">
      <c r="A34" s="138" t="s">
        <v>571</v>
      </c>
      <c r="B34" s="65"/>
      <c r="C34" s="65"/>
      <c r="D34" s="65"/>
      <c r="E34" s="132"/>
      <c r="F34" s="65"/>
      <c r="G34" s="18"/>
    </row>
    <row r="35" spans="1:7">
      <c r="A35" s="418" t="s">
        <v>730</v>
      </c>
      <c r="B35" s="418"/>
      <c r="C35" s="65"/>
      <c r="D35" s="65"/>
      <c r="E35" s="139"/>
      <c r="F35" s="65"/>
      <c r="G35" s="18"/>
    </row>
    <row r="36" spans="1:7">
      <c r="A36" s="419"/>
      <c r="B36" s="420"/>
      <c r="C36" s="65"/>
      <c r="D36" s="65"/>
      <c r="E36" s="423"/>
      <c r="F36" s="65"/>
      <c r="G36" s="18"/>
    </row>
    <row r="37" spans="1:7">
      <c r="A37" s="141" t="s">
        <v>572</v>
      </c>
      <c r="B37" s="65"/>
      <c r="C37" s="65"/>
      <c r="D37" s="123"/>
      <c r="E37" s="424"/>
      <c r="F37" s="123"/>
      <c r="G37" s="123"/>
    </row>
    <row r="38" spans="1:7">
      <c r="A38" s="418" t="s">
        <v>731</v>
      </c>
      <c r="B38" s="418"/>
      <c r="C38" s="65"/>
      <c r="D38" s="42"/>
      <c r="E38" s="411"/>
      <c r="F38" s="411"/>
      <c r="G38" s="42"/>
    </row>
    <row r="39" spans="1:7">
      <c r="A39" s="420" t="s">
        <v>732</v>
      </c>
      <c r="B39" s="421"/>
      <c r="C39" s="54"/>
      <c r="D39" s="18"/>
      <c r="E39" s="142"/>
      <c r="F39" s="142"/>
      <c r="G39" s="18"/>
    </row>
    <row r="40" spans="1:7">
      <c r="A40" s="420"/>
      <c r="B40" s="420"/>
      <c r="C40" s="18"/>
      <c r="D40" s="42"/>
      <c r="E40" s="274"/>
      <c r="F40" s="42"/>
      <c r="G40" s="42"/>
    </row>
    <row r="41" spans="1:7">
      <c r="A41" s="422"/>
      <c r="B41" s="420"/>
      <c r="C41" s="17"/>
      <c r="D41" s="406"/>
      <c r="E41" s="143"/>
      <c r="F41" s="18"/>
      <c r="G41" s="18"/>
    </row>
    <row r="42" spans="1:7">
      <c r="A42" s="21"/>
      <c r="B42" s="65"/>
      <c r="C42" s="65"/>
      <c r="D42" s="410"/>
      <c r="E42" s="410"/>
      <c r="F42" s="144"/>
      <c r="G42" s="144"/>
    </row>
    <row r="43" spans="1:7">
      <c r="A43" s="21"/>
      <c r="B43" s="96"/>
      <c r="C43" s="65"/>
      <c r="D43" s="143"/>
      <c r="E43" s="143"/>
      <c r="F43" s="54"/>
      <c r="G43" s="54"/>
    </row>
    <row r="44" spans="1:7">
      <c r="A44" s="21"/>
      <c r="B44" s="65"/>
      <c r="C44" s="65"/>
      <c r="D44" s="410"/>
      <c r="E44" s="410"/>
      <c r="F44" s="144"/>
      <c r="G44" s="144"/>
    </row>
    <row r="45" spans="1:7">
      <c r="A45" s="65"/>
      <c r="B45" s="65"/>
      <c r="C45" s="65"/>
      <c r="D45" s="54"/>
      <c r="E45" s="54"/>
      <c r="F45" s="54"/>
      <c r="G45" s="54"/>
    </row>
    <row r="46" spans="1:7">
      <c r="A46" s="17" t="s">
        <v>191</v>
      </c>
      <c r="B46" s="18"/>
      <c r="C46" s="17">
        <f>G3-1</f>
        <v>2013</v>
      </c>
      <c r="D46" s="42"/>
      <c r="E46" s="42"/>
      <c r="F46" s="144"/>
      <c r="G46" s="144"/>
    </row>
    <row r="47" spans="1:7">
      <c r="A47" s="143"/>
      <c r="B47" s="65"/>
      <c r="C47" s="17"/>
      <c r="D47" s="18"/>
      <c r="E47" s="18"/>
      <c r="F47" s="26"/>
      <c r="G47" s="26"/>
    </row>
    <row r="48" spans="1:7">
      <c r="A48" s="606"/>
      <c r="B48" s="607"/>
      <c r="C48" s="18"/>
      <c r="D48" s="42"/>
      <c r="E48" s="42"/>
      <c r="F48" s="42"/>
      <c r="G48" s="42"/>
    </row>
    <row r="49" spans="1:7">
      <c r="A49" s="26" t="s">
        <v>30</v>
      </c>
      <c r="B49" s="26"/>
      <c r="C49" s="18"/>
      <c r="D49" s="608" t="s">
        <v>29</v>
      </c>
      <c r="E49" s="609"/>
      <c r="F49" s="609"/>
      <c r="G49" s="609"/>
    </row>
    <row r="50" spans="1:7">
      <c r="A50" s="595"/>
      <c r="B50" s="595"/>
      <c r="C50" s="595"/>
      <c r="D50" s="595"/>
      <c r="E50" s="595"/>
      <c r="F50" s="595"/>
      <c r="G50" s="595"/>
    </row>
    <row r="51" spans="1:7">
      <c r="A51" s="596"/>
      <c r="B51" s="596"/>
      <c r="C51" s="596"/>
      <c r="D51" s="596"/>
      <c r="E51" s="596"/>
      <c r="F51" s="596"/>
      <c r="G51" s="596"/>
    </row>
    <row r="52" spans="1:7">
      <c r="A52" s="16"/>
      <c r="B52" s="16"/>
      <c r="C52" s="16"/>
      <c r="D52" s="16"/>
      <c r="E52" s="16"/>
      <c r="F52" s="16"/>
      <c r="G52" s="597"/>
    </row>
    <row r="53" spans="1:7">
      <c r="A53" s="16"/>
      <c r="B53" s="16"/>
      <c r="C53" s="16"/>
      <c r="D53" s="16"/>
      <c r="E53" s="16"/>
      <c r="F53" s="16"/>
      <c r="G53" s="597"/>
    </row>
    <row r="54" spans="1:7">
      <c r="A54" s="16"/>
      <c r="B54" s="16"/>
      <c r="C54" s="16"/>
      <c r="D54" s="16"/>
      <c r="E54" s="16"/>
      <c r="F54" s="16"/>
      <c r="G54" s="597"/>
    </row>
    <row r="55" spans="1:7">
      <c r="A55" s="16"/>
      <c r="B55" s="16"/>
      <c r="C55" s="16"/>
      <c r="D55" s="16"/>
      <c r="E55" s="16"/>
      <c r="F55" s="16"/>
      <c r="G55" s="597"/>
    </row>
    <row r="56" spans="1:7">
      <c r="A56" s="16"/>
      <c r="B56" s="16"/>
      <c r="C56" s="16"/>
      <c r="D56" s="145"/>
      <c r="E56" s="16"/>
      <c r="F56" s="16"/>
      <c r="G56" s="597"/>
    </row>
    <row r="57" spans="1:7">
      <c r="G57" s="597"/>
    </row>
    <row r="58" spans="1:7">
      <c r="G58" s="597"/>
    </row>
    <row r="59" spans="1:7">
      <c r="G59" s="597"/>
    </row>
    <row r="60" spans="1:7">
      <c r="G60" s="597"/>
    </row>
    <row r="61" spans="1:7">
      <c r="G61" s="597"/>
    </row>
    <row r="62" spans="1:7">
      <c r="G62" s="597"/>
    </row>
    <row r="63" spans="1:7">
      <c r="G63" s="597"/>
    </row>
    <row r="64" spans="1:7">
      <c r="G64" s="597"/>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28"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zoomScale="85" workbookViewId="0">
      <selection activeCell="J34" sqref="J34"/>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Ohio/Princeton Fire</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81" t="str">
        <f>CONCATENATE("Computation to Determine Limit for ",J1,"")</f>
        <v>Computation to Determine Limit for 2014</v>
      </c>
      <c r="B3" s="598"/>
      <c r="C3" s="598"/>
      <c r="D3" s="598"/>
      <c r="E3" s="598"/>
      <c r="F3" s="598"/>
      <c r="G3" s="598"/>
      <c r="H3" s="598"/>
      <c r="I3" s="598"/>
      <c r="J3" s="598"/>
    </row>
    <row r="4" spans="1:10" ht="15.75">
      <c r="A4" s="18"/>
      <c r="B4" s="18"/>
      <c r="C4" s="18"/>
      <c r="D4" s="18"/>
      <c r="E4" s="598"/>
      <c r="F4" s="598"/>
      <c r="G4" s="598"/>
      <c r="H4" s="93"/>
      <c r="I4" s="18"/>
      <c r="J4" s="147" t="s">
        <v>88</v>
      </c>
    </row>
    <row r="5" spans="1:10" ht="15.75">
      <c r="A5" s="148" t="s">
        <v>89</v>
      </c>
      <c r="B5" s="18" t="str">
        <f>CONCATENATE("Total Tax Levy Amount in ",J1-1," Budget")</f>
        <v>Total Tax Levy Amount in 2013 Budget</v>
      </c>
      <c r="C5" s="18"/>
      <c r="D5" s="18"/>
      <c r="E5" s="39"/>
      <c r="F5" s="39"/>
      <c r="G5" s="39"/>
      <c r="H5" s="149" t="s">
        <v>90</v>
      </c>
      <c r="I5" s="39" t="s">
        <v>91</v>
      </c>
      <c r="J5" s="381">
        <f>inputPrYr!E24</f>
        <v>31708</v>
      </c>
    </row>
    <row r="6" spans="1:10" ht="15.75">
      <c r="A6" s="148" t="s">
        <v>92</v>
      </c>
      <c r="B6" s="18" t="str">
        <f>CONCATENATE("Debt Service Levy in ",J1-1," Budget")</f>
        <v>Debt Service Levy in 2013 Budget</v>
      </c>
      <c r="C6" s="18"/>
      <c r="D6" s="18"/>
      <c r="E6" s="39"/>
      <c r="F6" s="39"/>
      <c r="G6" s="39"/>
      <c r="H6" s="149" t="s">
        <v>93</v>
      </c>
      <c r="I6" s="39" t="s">
        <v>91</v>
      </c>
      <c r="J6" s="150">
        <f>inputPrYr!E20</f>
        <v>0</v>
      </c>
    </row>
    <row r="7" spans="1:10" ht="15.75">
      <c r="A7" s="148" t="s">
        <v>117</v>
      </c>
      <c r="B7" s="27" t="s">
        <v>111</v>
      </c>
      <c r="C7" s="18"/>
      <c r="D7" s="18"/>
      <c r="E7" s="39"/>
      <c r="F7" s="39"/>
      <c r="G7" s="39"/>
      <c r="H7" s="39"/>
      <c r="I7" s="39" t="s">
        <v>91</v>
      </c>
      <c r="J7" s="43">
        <f>J5-J6</f>
        <v>31708</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94</v>
      </c>
      <c r="B11" s="27" t="str">
        <f>CONCATENATE("New Improvements for ",J1-1,":")</f>
        <v>New Improvements for 2013:</v>
      </c>
      <c r="C11" s="18"/>
      <c r="D11" s="18"/>
      <c r="E11" s="149"/>
      <c r="F11" s="149" t="s">
        <v>90</v>
      </c>
      <c r="G11" s="151">
        <f>inputOth!E8</f>
        <v>36263</v>
      </c>
      <c r="H11" s="152"/>
      <c r="I11" s="39"/>
      <c r="J11" s="39"/>
    </row>
    <row r="12" spans="1:10" ht="15.75">
      <c r="A12" s="148"/>
      <c r="B12" s="148"/>
      <c r="C12" s="18"/>
      <c r="D12" s="18"/>
      <c r="E12" s="149"/>
      <c r="F12" s="149"/>
      <c r="G12" s="152"/>
      <c r="H12" s="152"/>
      <c r="I12" s="39"/>
      <c r="J12" s="39"/>
    </row>
    <row r="13" spans="1:10" ht="15.75">
      <c r="A13" s="148" t="s">
        <v>95</v>
      </c>
      <c r="B13" s="27" t="str">
        <f>CONCATENATE("Increase in Personal Property for ",J1-1,":")</f>
        <v>Increase in Personal Property for 2013:</v>
      </c>
      <c r="C13" s="18"/>
      <c r="D13" s="18"/>
      <c r="E13" s="149"/>
      <c r="F13" s="149"/>
      <c r="G13" s="152"/>
      <c r="H13" s="152"/>
      <c r="I13" s="39"/>
      <c r="J13" s="39"/>
    </row>
    <row r="14" spans="1:10" ht="15.75">
      <c r="A14" s="18"/>
      <c r="B14" s="18" t="s">
        <v>96</v>
      </c>
      <c r="C14" s="18" t="str">
        <f>CONCATENATE("Personal Property ",J1-1,"")</f>
        <v>Personal Property 2013</v>
      </c>
      <c r="D14" s="148" t="s">
        <v>90</v>
      </c>
      <c r="E14" s="151">
        <f>inputOth!E9</f>
        <v>125508</v>
      </c>
      <c r="F14" s="149"/>
      <c r="G14" s="39"/>
      <c r="H14" s="39"/>
      <c r="I14" s="152"/>
      <c r="J14" s="39"/>
    </row>
    <row r="15" spans="1:10" ht="15.75">
      <c r="A15" s="148"/>
      <c r="B15" s="18" t="s">
        <v>97</v>
      </c>
      <c r="C15" s="18" t="str">
        <f>CONCATENATE("Personal Property ",J1-2,"")</f>
        <v>Personal Property 2012</v>
      </c>
      <c r="D15" s="148" t="s">
        <v>93</v>
      </c>
      <c r="E15" s="43">
        <f>inputOth!E11</f>
        <v>116104</v>
      </c>
      <c r="F15" s="149"/>
      <c r="G15" s="152"/>
      <c r="H15" s="152"/>
      <c r="I15" s="39"/>
      <c r="J15" s="39"/>
    </row>
    <row r="16" spans="1:10" ht="15.75">
      <c r="A16" s="148"/>
      <c r="B16" s="18" t="s">
        <v>98</v>
      </c>
      <c r="C16" s="18" t="s">
        <v>112</v>
      </c>
      <c r="D16" s="18"/>
      <c r="E16" s="39"/>
      <c r="F16" s="39" t="s">
        <v>90</v>
      </c>
      <c r="G16" s="151">
        <f>IF(E14&gt;E15,E14-E15,0)</f>
        <v>9404</v>
      </c>
      <c r="H16" s="152"/>
      <c r="I16" s="39"/>
      <c r="J16" s="39"/>
    </row>
    <row r="17" spans="1:10" ht="15.75">
      <c r="A17" s="148"/>
      <c r="B17" s="148"/>
      <c r="C17" s="18"/>
      <c r="D17" s="18"/>
      <c r="E17" s="39"/>
      <c r="F17" s="39"/>
      <c r="G17" s="152" t="s">
        <v>106</v>
      </c>
      <c r="H17" s="152"/>
      <c r="I17" s="39"/>
      <c r="J17" s="39"/>
    </row>
    <row r="18" spans="1:10" ht="15.75">
      <c r="A18" s="148" t="s">
        <v>99</v>
      </c>
      <c r="B18" s="27" t="str">
        <f>CONCATENATE("Valuation of Property that has Changed in Use during ",J1-1,":")</f>
        <v>Valuation of Property that has Changed in Use during 2013:</v>
      </c>
      <c r="C18" s="18"/>
      <c r="D18" s="148"/>
      <c r="E18" s="39"/>
      <c r="F18" s="39"/>
      <c r="G18" s="39">
        <f>inputOth!E10</f>
        <v>42497</v>
      </c>
      <c r="H18" s="39"/>
      <c r="I18" s="39"/>
      <c r="J18" s="39"/>
    </row>
    <row r="19" spans="1:10" ht="15.75">
      <c r="A19" s="18" t="s">
        <v>18</v>
      </c>
      <c r="B19" s="18"/>
      <c r="C19" s="18"/>
      <c r="D19" s="18"/>
      <c r="E19" s="152"/>
      <c r="F19" s="39"/>
      <c r="G19" s="153"/>
      <c r="H19" s="152"/>
      <c r="I19" s="39"/>
      <c r="J19" s="39"/>
    </row>
    <row r="20" spans="1:10" ht="15.75">
      <c r="A20" s="148" t="s">
        <v>100</v>
      </c>
      <c r="B20" s="27" t="s">
        <v>113</v>
      </c>
      <c r="C20" s="18"/>
      <c r="D20" s="148"/>
      <c r="E20" s="39"/>
      <c r="F20" s="39"/>
      <c r="G20" s="151">
        <f>G11+G16+G18</f>
        <v>88164</v>
      </c>
      <c r="H20" s="152"/>
      <c r="I20" s="39"/>
      <c r="J20" s="39"/>
    </row>
    <row r="21" spans="1:10" ht="15.75">
      <c r="A21" s="148"/>
      <c r="B21" s="148"/>
      <c r="C21" s="27"/>
      <c r="D21" s="18"/>
      <c r="E21" s="39"/>
      <c r="F21" s="39"/>
      <c r="G21" s="152"/>
      <c r="H21" s="152"/>
      <c r="I21" s="39"/>
      <c r="J21" s="39"/>
    </row>
    <row r="22" spans="1:10" ht="15.75">
      <c r="A22" s="148" t="s">
        <v>101</v>
      </c>
      <c r="B22" s="18" t="str">
        <f>CONCATENATE("Total Estimated Valuation July, 1,",J1-1,"")</f>
        <v>Total Estimated Valuation July, 1,2013</v>
      </c>
      <c r="C22" s="18"/>
      <c r="D22" s="18"/>
      <c r="E22" s="151">
        <f>inputOth!E7</f>
        <v>6574673</v>
      </c>
      <c r="F22" s="39"/>
      <c r="G22" s="39"/>
      <c r="H22" s="39"/>
      <c r="I22" s="149"/>
      <c r="J22" s="39"/>
    </row>
    <row r="23" spans="1:10" ht="15.75">
      <c r="A23" s="148"/>
      <c r="B23" s="148"/>
      <c r="C23" s="18"/>
      <c r="D23" s="18"/>
      <c r="E23" s="152"/>
      <c r="F23" s="39"/>
      <c r="G23" s="39"/>
      <c r="H23" s="39"/>
      <c r="I23" s="149"/>
      <c r="J23" s="39"/>
    </row>
    <row r="24" spans="1:10" ht="15.75">
      <c r="A24" s="148" t="s">
        <v>102</v>
      </c>
      <c r="B24" s="27" t="s">
        <v>114</v>
      </c>
      <c r="C24" s="18"/>
      <c r="D24" s="18"/>
      <c r="E24" s="39"/>
      <c r="F24" s="39"/>
      <c r="G24" s="151">
        <f>E22-G20</f>
        <v>6486509</v>
      </c>
      <c r="H24" s="152"/>
      <c r="I24" s="149"/>
      <c r="J24" s="39"/>
    </row>
    <row r="25" spans="1:10" ht="15.75">
      <c r="A25" s="148"/>
      <c r="B25" s="148"/>
      <c r="C25" s="27"/>
      <c r="D25" s="18"/>
      <c r="E25" s="39"/>
      <c r="F25" s="39"/>
      <c r="G25" s="153"/>
      <c r="H25" s="152"/>
      <c r="I25" s="149"/>
      <c r="J25" s="39"/>
    </row>
    <row r="26" spans="1:10" ht="15.75">
      <c r="A26" s="148" t="s">
        <v>103</v>
      </c>
      <c r="B26" s="18" t="s">
        <v>115</v>
      </c>
      <c r="C26" s="18"/>
      <c r="D26" s="18"/>
      <c r="E26" s="18"/>
      <c r="F26" s="18"/>
      <c r="G26" s="154">
        <f>IF(G20&gt;0,G20/G24,0)</f>
        <v>1.3591902824770612E-2</v>
      </c>
      <c r="H26" s="65"/>
      <c r="I26" s="18"/>
      <c r="J26" s="18"/>
    </row>
    <row r="27" spans="1:10" ht="15.75">
      <c r="A27" s="148"/>
      <c r="B27" s="148"/>
      <c r="C27" s="18"/>
      <c r="D27" s="18"/>
      <c r="E27" s="18"/>
      <c r="F27" s="18"/>
      <c r="G27" s="65"/>
      <c r="H27" s="65"/>
      <c r="I27" s="18"/>
      <c r="J27" s="18"/>
    </row>
    <row r="28" spans="1:10" ht="15.75">
      <c r="A28" s="148" t="s">
        <v>104</v>
      </c>
      <c r="B28" s="18" t="s">
        <v>116</v>
      </c>
      <c r="C28" s="18"/>
      <c r="D28" s="18"/>
      <c r="E28" s="18"/>
      <c r="F28" s="18"/>
      <c r="G28" s="65"/>
      <c r="H28" s="155" t="s">
        <v>90</v>
      </c>
      <c r="I28" s="18" t="s">
        <v>91</v>
      </c>
      <c r="J28" s="151">
        <f>ROUND(G26*J7,0)</f>
        <v>431</v>
      </c>
    </row>
    <row r="29" spans="1:10" ht="15.75">
      <c r="A29" s="148"/>
      <c r="B29" s="148"/>
      <c r="C29" s="18"/>
      <c r="D29" s="18"/>
      <c r="E29" s="18"/>
      <c r="F29" s="18"/>
      <c r="G29" s="65"/>
      <c r="H29" s="155"/>
      <c r="I29" s="18"/>
      <c r="J29" s="152"/>
    </row>
    <row r="30" spans="1:10" ht="16.5" thickBot="1">
      <c r="A30" s="148" t="s">
        <v>105</v>
      </c>
      <c r="B30" s="27" t="s">
        <v>121</v>
      </c>
      <c r="C30" s="18"/>
      <c r="D30" s="18"/>
      <c r="E30" s="18"/>
      <c r="F30" s="18"/>
      <c r="G30" s="18"/>
      <c r="H30" s="18"/>
      <c r="I30" s="18" t="s">
        <v>91</v>
      </c>
      <c r="J30" s="156">
        <f>J7+J28</f>
        <v>32139</v>
      </c>
    </row>
    <row r="31" spans="1:10" ht="16.5" thickTop="1">
      <c r="A31" s="148"/>
      <c r="B31" s="27"/>
      <c r="C31" s="18"/>
      <c r="D31" s="18"/>
      <c r="E31" s="18"/>
      <c r="F31" s="18"/>
      <c r="G31" s="18"/>
      <c r="H31" s="18"/>
      <c r="I31" s="18"/>
      <c r="J31" s="18"/>
    </row>
    <row r="32" spans="1:10" ht="15.75">
      <c r="A32" s="148" t="s">
        <v>119</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120</v>
      </c>
      <c r="B34" s="27" t="s">
        <v>122</v>
      </c>
      <c r="C34" s="18"/>
      <c r="D34" s="18"/>
      <c r="E34" s="18"/>
      <c r="F34" s="18"/>
      <c r="G34" s="18"/>
      <c r="H34" s="18"/>
      <c r="I34" s="18"/>
      <c r="J34" s="156">
        <f>J30+J32</f>
        <v>32139</v>
      </c>
    </row>
    <row r="35" spans="1:10" ht="16.5" thickTop="1">
      <c r="A35" s="18"/>
      <c r="B35" s="18"/>
      <c r="C35" s="18"/>
      <c r="D35" s="18"/>
      <c r="E35" s="18"/>
      <c r="F35" s="18"/>
      <c r="G35" s="18"/>
      <c r="H35" s="18"/>
      <c r="I35" s="18"/>
      <c r="J35" s="18"/>
    </row>
    <row r="36" spans="1:10" ht="15.75">
      <c r="A36" s="610" t="str">
        <f>CONCATENATE("If the ",J1," budget includes tax levies exceeding the total on line 14, you must")</f>
        <v>If the 2014 budget includes tax levies exceeding the total on line 14, you must</v>
      </c>
      <c r="B36" s="610"/>
      <c r="C36" s="610"/>
      <c r="D36" s="610"/>
      <c r="E36" s="610"/>
      <c r="F36" s="610"/>
      <c r="G36" s="610"/>
      <c r="H36" s="610"/>
      <c r="I36" s="610"/>
      <c r="J36" s="610"/>
    </row>
    <row r="37" spans="1:10" ht="15.75">
      <c r="A37" s="610" t="s">
        <v>118</v>
      </c>
      <c r="B37" s="610"/>
      <c r="C37" s="610"/>
      <c r="D37" s="610"/>
      <c r="E37" s="610"/>
      <c r="F37" s="610"/>
      <c r="G37" s="610"/>
      <c r="H37" s="610"/>
      <c r="I37" s="610"/>
      <c r="J37" s="610"/>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Ohio/Princeton Fire</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11" t="s">
        <v>227</v>
      </c>
      <c r="C6" s="611"/>
      <c r="D6" s="611"/>
      <c r="E6" s="611"/>
      <c r="F6" s="611"/>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4" t="str">
        <f>CONCATENATE("",J2-1,"                    Budgeted Funds")</f>
        <v>2013                    Budgeted Funds</v>
      </c>
      <c r="C9" s="612" t="str">
        <f>CONCATENATE("Tax Levy Amount in ",J2-2," Budget")</f>
        <v>Tax Levy Amount in 2012 Budget</v>
      </c>
      <c r="D9" s="600" t="str">
        <f>CONCATENATE("Allocation for Year ",J2,"")</f>
        <v>Allocation for Year 2014</v>
      </c>
      <c r="E9" s="615"/>
      <c r="F9" s="615"/>
      <c r="G9" s="602"/>
      <c r="H9" s="18"/>
      <c r="I9" s="18"/>
      <c r="J9" s="18"/>
    </row>
    <row r="10" spans="1:10">
      <c r="A10" s="18"/>
      <c r="B10" s="613"/>
      <c r="C10" s="613"/>
      <c r="D10" s="110" t="s">
        <v>45</v>
      </c>
      <c r="E10" s="110" t="s">
        <v>46</v>
      </c>
      <c r="F10" s="110" t="s">
        <v>85</v>
      </c>
      <c r="G10" s="107" t="s">
        <v>154</v>
      </c>
      <c r="H10" s="18"/>
      <c r="I10" s="18"/>
      <c r="J10" s="18"/>
    </row>
    <row r="11" spans="1:10">
      <c r="A11" s="18"/>
      <c r="B11" s="38" t="str">
        <f>inputPrYr!B19</f>
        <v>General</v>
      </c>
      <c r="C11" s="121">
        <f>inputPrYr!E19</f>
        <v>31708</v>
      </c>
      <c r="D11" s="121">
        <f>IF(E17=0,0,E17-D12-D13-D14)</f>
        <v>4481</v>
      </c>
      <c r="E11" s="121">
        <f>IF(E19=0,0,E19-E12-E13-E14)</f>
        <v>120</v>
      </c>
      <c r="F11" s="121">
        <f>IF(E21=0,0,E21-F12-F13-F14)</f>
        <v>358</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31708</v>
      </c>
      <c r="D15" s="130">
        <f>SUM(D11:D14)</f>
        <v>4481</v>
      </c>
      <c r="E15" s="130">
        <f>SUM(E11:E14)</f>
        <v>120</v>
      </c>
      <c r="F15" s="130">
        <f>SUM(F11:F14)</f>
        <v>358</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4481</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120</v>
      </c>
      <c r="F19" s="18"/>
      <c r="G19" s="18"/>
      <c r="H19" s="18"/>
      <c r="I19" s="18"/>
      <c r="J19" s="18"/>
    </row>
    <row r="20" spans="1:10">
      <c r="A20" s="18"/>
      <c r="B20" s="18"/>
      <c r="C20" s="18"/>
      <c r="D20" s="18"/>
      <c r="E20" s="18"/>
      <c r="F20" s="18"/>
      <c r="G20" s="18"/>
      <c r="H20" s="18"/>
      <c r="I20" s="18"/>
      <c r="J20" s="18"/>
    </row>
    <row r="21" spans="1:10">
      <c r="A21" s="18"/>
      <c r="B21" s="17" t="s">
        <v>86</v>
      </c>
      <c r="C21" s="18"/>
      <c r="D21" s="18"/>
      <c r="E21" s="162">
        <f>inputOth!E29</f>
        <v>358</v>
      </c>
      <c r="F21" s="18"/>
      <c r="G21" s="18"/>
      <c r="H21" s="18"/>
      <c r="I21" s="18"/>
      <c r="J21" s="18"/>
    </row>
    <row r="22" spans="1:10">
      <c r="A22" s="18"/>
      <c r="B22" s="18"/>
      <c r="C22" s="18"/>
      <c r="D22" s="18"/>
      <c r="E22" s="18"/>
      <c r="F22" s="18"/>
      <c r="G22" s="18"/>
      <c r="H22" s="18"/>
      <c r="I22" s="18"/>
      <c r="J22" s="18"/>
    </row>
    <row r="23" spans="1:10">
      <c r="A23" s="18"/>
      <c r="B23" s="18" t="s">
        <v>207</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0.14132080232118077</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3.7845338715781504E-3</v>
      </c>
      <c r="E27" s="18"/>
      <c r="F27" s="18"/>
      <c r="G27" s="18"/>
      <c r="H27" s="18"/>
      <c r="I27" s="18"/>
      <c r="J27" s="18"/>
    </row>
    <row r="28" spans="1:10">
      <c r="A28" s="18"/>
      <c r="B28" s="18"/>
      <c r="C28" s="17"/>
      <c r="D28" s="166"/>
      <c r="E28" s="18"/>
      <c r="F28" s="18"/>
      <c r="G28" s="18"/>
      <c r="H28" s="18"/>
      <c r="I28" s="18"/>
      <c r="J28" s="18"/>
    </row>
    <row r="29" spans="1:10">
      <c r="A29" s="18"/>
      <c r="B29" s="18"/>
      <c r="C29" s="18"/>
      <c r="D29" s="138" t="s">
        <v>87</v>
      </c>
      <c r="E29" s="165">
        <f>IF(C15=0,0,E21/C15)</f>
        <v>1.1290526050208149E-2</v>
      </c>
      <c r="F29" s="18"/>
      <c r="G29" s="18"/>
      <c r="H29" s="18"/>
      <c r="I29" s="18"/>
      <c r="J29" s="18"/>
    </row>
    <row r="30" spans="1:10">
      <c r="A30" s="18"/>
      <c r="B30" s="18"/>
      <c r="C30" s="18"/>
      <c r="D30" s="18"/>
      <c r="E30" s="18"/>
      <c r="F30" s="18"/>
      <c r="G30" s="18"/>
      <c r="H30" s="18"/>
      <c r="I30" s="18"/>
      <c r="J30" s="18"/>
    </row>
    <row r="31" spans="1:10">
      <c r="A31" s="18"/>
      <c r="B31" s="18"/>
      <c r="C31" s="54"/>
      <c r="D31" s="54"/>
      <c r="E31" s="54" t="s">
        <v>208</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Ohio/Princeton Fire</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8" t="s">
        <v>142</v>
      </c>
      <c r="B5" s="598"/>
      <c r="C5" s="598"/>
      <c r="D5" s="598"/>
      <c r="E5" s="598"/>
      <c r="F5" s="598"/>
    </row>
    <row r="6" spans="1:6" ht="14.25" customHeight="1">
      <c r="A6" s="93"/>
      <c r="B6" s="169"/>
      <c r="C6" s="169"/>
      <c r="D6" s="169"/>
      <c r="E6" s="169"/>
      <c r="F6" s="169"/>
    </row>
    <row r="7" spans="1:6" ht="17.25" customHeight="1">
      <c r="A7" s="170" t="s">
        <v>24</v>
      </c>
      <c r="B7" s="170" t="s">
        <v>559</v>
      </c>
      <c r="C7" s="170" t="s">
        <v>51</v>
      </c>
      <c r="D7" s="170" t="s">
        <v>143</v>
      </c>
      <c r="E7" s="170" t="s">
        <v>144</v>
      </c>
      <c r="F7" s="170" t="s">
        <v>155</v>
      </c>
    </row>
    <row r="8" spans="1:6" ht="17.25" customHeight="1">
      <c r="A8" s="171" t="s">
        <v>560</v>
      </c>
      <c r="B8" s="171" t="s">
        <v>561</v>
      </c>
      <c r="C8" s="171" t="s">
        <v>156</v>
      </c>
      <c r="D8" s="171" t="s">
        <v>156</v>
      </c>
      <c r="E8" s="171" t="s">
        <v>156</v>
      </c>
      <c r="F8" s="171" t="s">
        <v>157</v>
      </c>
    </row>
    <row r="9" spans="1:6" s="174" customFormat="1" ht="18" customHeight="1">
      <c r="A9" s="172" t="s">
        <v>158</v>
      </c>
      <c r="B9" s="172" t="s">
        <v>159</v>
      </c>
      <c r="C9" s="173">
        <f>F1-2</f>
        <v>2012</v>
      </c>
      <c r="D9" s="173">
        <f>F1-1</f>
        <v>2013</v>
      </c>
      <c r="E9" s="173">
        <f>F1</f>
        <v>2014</v>
      </c>
      <c r="F9" s="172" t="s">
        <v>160</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132</v>
      </c>
      <c r="C24" s="179">
        <f>SUM(C10:C23)</f>
        <v>0</v>
      </c>
      <c r="D24" s="179">
        <f>SUM(D10:D23)</f>
        <v>0</v>
      </c>
      <c r="E24" s="179">
        <f>SUM(E10:E23)</f>
        <v>0</v>
      </c>
      <c r="F24" s="180"/>
      <c r="G24" s="57"/>
    </row>
    <row r="25" spans="1:7">
      <c r="A25" s="32"/>
      <c r="B25" s="181" t="s">
        <v>558</v>
      </c>
      <c r="C25" s="182"/>
      <c r="D25" s="183"/>
      <c r="E25" s="183"/>
      <c r="F25" s="180"/>
      <c r="G25" s="57"/>
    </row>
    <row r="26" spans="1:7">
      <c r="A26" s="32"/>
      <c r="B26" s="178" t="s">
        <v>161</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4" t="s">
        <v>562</v>
      </c>
      <c r="B29" s="385"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2013-07-22T18:13:47Z</cp:lastPrinted>
  <dcterms:created xsi:type="dcterms:W3CDTF">1999-08-06T13:59:57Z</dcterms:created>
  <dcterms:modified xsi:type="dcterms:W3CDTF">2013-11-07T20:08:58Z</dcterms:modified>
</cp:coreProperties>
</file>