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4"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13" s="1"/>
  <c r="E7"/>
  <c r="H48" i="4"/>
  <c r="D39" i="5"/>
  <c r="D77"/>
  <c r="E77" s="1"/>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5" s="1"/>
  <c r="C11"/>
  <c r="E24" i="2"/>
  <c r="D20" i="8" s="1"/>
  <c r="J6" i="10"/>
  <c r="D36" i="2"/>
  <c r="A45"/>
  <c r="A44"/>
  <c r="E1" i="15"/>
  <c r="H60"/>
  <c r="C61"/>
  <c r="E17" i="7"/>
  <c r="E19"/>
  <c r="E21"/>
  <c r="E23"/>
  <c r="G13"/>
  <c r="E14" i="5" s="1"/>
  <c r="D9"/>
  <c r="D21"/>
  <c r="D20" s="1"/>
  <c r="C21"/>
  <c r="C22"/>
  <c r="C34"/>
  <c r="C33"/>
  <c r="D33"/>
  <c r="D9" i="16"/>
  <c r="E30" i="5"/>
  <c r="E33"/>
  <c r="E32" s="1"/>
  <c r="D47"/>
  <c r="D59"/>
  <c r="D58" s="1"/>
  <c r="C59"/>
  <c r="C60"/>
  <c r="C71"/>
  <c r="D71"/>
  <c r="D10" i="16"/>
  <c r="E68" i="5"/>
  <c r="E71" s="1"/>
  <c r="D9" i="15"/>
  <c r="D30" s="1"/>
  <c r="C30"/>
  <c r="C31"/>
  <c r="C55"/>
  <c r="C54"/>
  <c r="G59"/>
  <c r="D54"/>
  <c r="G54"/>
  <c r="D8" i="16"/>
  <c r="E51" i="15"/>
  <c r="E54" s="1"/>
  <c r="D35" i="5"/>
  <c r="D87" s="1"/>
  <c r="C35"/>
  <c r="F3"/>
  <c r="D6" s="1"/>
  <c r="D44" s="1"/>
  <c r="D73"/>
  <c r="D89" s="1"/>
  <c r="C73"/>
  <c r="D33" i="6"/>
  <c r="D34" s="1"/>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C70" s="1"/>
  <c r="F3"/>
  <c r="G55" s="1"/>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M14" s="1"/>
  <c r="E16"/>
  <c r="E17" s="1"/>
  <c r="M20" s="1"/>
  <c r="B39" i="2"/>
  <c r="B21" i="8"/>
  <c r="A10" i="14"/>
  <c r="A8"/>
  <c r="A7"/>
  <c r="B5" i="12"/>
  <c r="B27"/>
  <c r="B31"/>
  <c r="B10"/>
  <c r="B9"/>
  <c r="B19"/>
  <c r="B23"/>
  <c r="D21" i="8"/>
  <c r="E24" i="13"/>
  <c r="E26"/>
  <c r="F18" i="8"/>
  <c r="D16"/>
  <c r="D24" i="13"/>
  <c r="D26"/>
  <c r="D18" i="8"/>
  <c r="B16"/>
  <c r="C24" i="13"/>
  <c r="C26"/>
  <c r="B18" i="8"/>
  <c r="F1" i="13"/>
  <c r="E9" s="1"/>
  <c r="A3"/>
  <c r="A2"/>
  <c r="C44" i="5"/>
  <c r="B9" i="7"/>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B4" i="16"/>
  <c r="C78" i="5"/>
  <c r="B73"/>
  <c r="A11" i="3"/>
  <c r="B18" i="17"/>
  <c r="B35" i="5"/>
  <c r="B29" i="17"/>
  <c r="B30"/>
  <c r="K18"/>
  <c r="C30" i="6"/>
  <c r="J7" i="9"/>
  <c r="A36" i="10"/>
  <c r="A26" i="14"/>
  <c r="B40"/>
  <c r="D6" i="4"/>
  <c r="E13" i="3"/>
  <c r="A10"/>
  <c r="G14" i="8"/>
  <c r="A6" i="14"/>
  <c r="A24"/>
  <c r="C40"/>
  <c r="D6" i="6"/>
  <c r="D39" s="1"/>
  <c r="G12" i="7"/>
  <c r="E14" i="15" s="1"/>
  <c r="K28" i="17"/>
  <c r="G28" i="9"/>
  <c r="C6" i="16"/>
  <c r="H7" i="9"/>
  <c r="A35" i="14"/>
  <c r="G14" i="7"/>
  <c r="E52" i="5" s="1"/>
  <c r="C32" i="6"/>
  <c r="D7"/>
  <c r="D20"/>
  <c r="D32"/>
  <c r="C40" i="5"/>
  <c r="E6"/>
  <c r="E44" s="1"/>
  <c r="C6" i="4"/>
  <c r="B52"/>
  <c r="D70"/>
  <c r="E6"/>
  <c r="A14" i="14"/>
  <c r="E47" i="4"/>
  <c r="E50"/>
  <c r="F53" s="1"/>
  <c r="C67" i="6"/>
  <c r="C35"/>
  <c r="C87" i="5"/>
  <c r="B37" s="1"/>
  <c r="D69" i="15"/>
  <c r="G15" i="7"/>
  <c r="J5" i="10"/>
  <c r="J7" s="1"/>
  <c r="C89" i="5"/>
  <c r="B75" s="1"/>
  <c r="J83" i="26"/>
  <c r="J123"/>
  <c r="J103"/>
  <c r="E39" i="5"/>
  <c r="E60" i="15"/>
  <c r="E56" i="4"/>
  <c r="G43"/>
  <c r="H46"/>
  <c r="H50"/>
  <c r="H53"/>
  <c r="G59"/>
  <c r="G52" i="15"/>
  <c r="H55"/>
  <c r="H57"/>
  <c r="H59"/>
  <c r="H62"/>
  <c r="C57" i="4"/>
  <c r="H45"/>
  <c r="H47"/>
  <c r="H51"/>
  <c r="H54" i="15"/>
  <c r="H56"/>
  <c r="E21" i="9"/>
  <c r="G50" i="4"/>
  <c r="D7" i="15"/>
  <c r="C70"/>
  <c r="C72" i="5"/>
  <c r="D45"/>
  <c r="C90"/>
  <c r="C88"/>
  <c r="D7"/>
  <c r="C68" i="6"/>
  <c r="D40"/>
  <c r="D53"/>
  <c r="D65"/>
  <c r="E7"/>
  <c r="E20"/>
  <c r="E32"/>
  <c r="E33"/>
  <c r="D35"/>
  <c r="J30" i="17"/>
  <c r="K29"/>
  <c r="K30"/>
  <c r="F36" i="5"/>
  <c r="E37"/>
  <c r="J19" i="8"/>
  <c r="J17"/>
  <c r="E40" i="6"/>
  <c r="E53"/>
  <c r="E65"/>
  <c r="E66"/>
  <c r="D68"/>
  <c r="J59" i="4"/>
  <c r="J58"/>
  <c r="E49" l="1"/>
  <c r="E23" i="3"/>
  <c r="F16" i="8"/>
  <c r="F17" s="1"/>
  <c r="F19" s="1"/>
  <c r="C27" i="4"/>
  <c r="D13" i="16"/>
  <c r="C25" i="7"/>
  <c r="D12" s="1"/>
  <c r="E11" i="15" s="1"/>
  <c r="E29" i="7"/>
  <c r="D27"/>
  <c r="E12" s="1"/>
  <c r="E12" i="15" s="1"/>
  <c r="F31" i="7"/>
  <c r="F13"/>
  <c r="E13" i="5" s="1"/>
  <c r="J20" i="8"/>
  <c r="J12"/>
  <c r="J16"/>
  <c r="E54" i="4"/>
  <c r="E24" i="3"/>
  <c r="D22" i="5"/>
  <c r="D34" s="1"/>
  <c r="D60"/>
  <c r="D72" s="1"/>
  <c r="D14" i="7"/>
  <c r="E49" i="5" s="1"/>
  <c r="C46" i="3"/>
  <c r="D6" i="16"/>
  <c r="B6"/>
  <c r="A26"/>
  <c r="E6"/>
  <c r="D13" i="8"/>
  <c r="F15" i="3"/>
  <c r="H28" i="9"/>
  <c r="C9" i="13"/>
  <c r="B66" i="6"/>
  <c r="A18" i="3"/>
  <c r="D9" i="7"/>
  <c r="D9" i="13"/>
  <c r="B13" i="8"/>
  <c r="C6" i="6"/>
  <c r="C39" s="1"/>
  <c r="E6"/>
  <c r="E39" s="1"/>
  <c r="A11" i="8"/>
  <c r="F13"/>
  <c r="C51" i="4"/>
  <c r="C71" s="1"/>
  <c r="B54"/>
  <c r="D13" i="7"/>
  <c r="G16" i="10"/>
  <c r="G20" s="1"/>
  <c r="G24" s="1"/>
  <c r="F74" i="5"/>
  <c r="E25" i="3"/>
  <c r="E70" i="5"/>
  <c r="E75"/>
  <c r="D17" i="8"/>
  <c r="D19" s="1"/>
  <c r="E45" i="5"/>
  <c r="D90"/>
  <c r="B76" s="1"/>
  <c r="D29" i="15"/>
  <c r="D31"/>
  <c r="D55" s="1"/>
  <c r="B17" i="8"/>
  <c r="B19" s="1"/>
  <c r="B29" i="13"/>
  <c r="A12" i="14"/>
  <c r="B58" i="15"/>
  <c r="D70"/>
  <c r="B59" s="1"/>
  <c r="E7"/>
  <c r="D88" i="5"/>
  <c r="B38" s="1"/>
  <c r="E7"/>
  <c r="D27" i="4"/>
  <c r="E29" i="3"/>
  <c r="F57" i="15"/>
  <c r="E58"/>
  <c r="E53"/>
  <c r="D11" i="7" l="1"/>
  <c r="E11" i="4" s="1"/>
  <c r="E11" i="5"/>
  <c r="E13" i="7"/>
  <c r="E14"/>
  <c r="E50" i="5" s="1"/>
  <c r="F12" i="7"/>
  <c r="F14"/>
  <c r="E51" i="5" s="1"/>
  <c r="D7" i="4"/>
  <c r="D29" s="1"/>
  <c r="D51" s="1"/>
  <c r="G45" s="1"/>
  <c r="D15" i="7"/>
  <c r="G26" i="10"/>
  <c r="J28" s="1"/>
  <c r="J30" s="1"/>
  <c r="E59" i="5" l="1"/>
  <c r="E12"/>
  <c r="E21" s="1"/>
  <c r="E11" i="7"/>
  <c r="E13" i="15"/>
  <c r="E30" s="1"/>
  <c r="F11" i="7"/>
  <c r="E7" i="4"/>
  <c r="D71"/>
  <c r="B55" s="1"/>
  <c r="E60" i="5" l="1"/>
  <c r="E76" s="1"/>
  <c r="E78" s="1"/>
  <c r="E13" i="4"/>
  <c r="F15" i="7"/>
  <c r="E22" i="5"/>
  <c r="E38" s="1"/>
  <c r="E40" s="1"/>
  <c r="G55" i="15"/>
  <c r="E31"/>
  <c r="E59" s="1"/>
  <c r="E61" s="1"/>
  <c r="E15" i="7"/>
  <c r="E12" i="4"/>
  <c r="E28" s="1"/>
  <c r="E29" s="1"/>
  <c r="E55" s="1"/>
  <c r="E57" s="1"/>
  <c r="G25" i="3" l="1"/>
  <c r="F25"/>
  <c r="E58" i="5"/>
  <c r="G53" i="4"/>
  <c r="G47"/>
  <c r="F23" i="3"/>
  <c r="G16" i="8"/>
  <c r="G17" s="1"/>
  <c r="M19" s="1"/>
  <c r="M21" s="1"/>
  <c r="G24" i="3"/>
  <c r="F24"/>
  <c r="G46" i="4"/>
  <c r="E27"/>
  <c r="G62" i="15"/>
  <c r="E29"/>
  <c r="G56"/>
  <c r="G57" s="1"/>
  <c r="G60" s="1"/>
  <c r="J32" i="10"/>
  <c r="J34" s="1"/>
  <c r="E20" i="5"/>
  <c r="H16" i="8"/>
  <c r="H17" s="1"/>
  <c r="F29" i="3" l="1"/>
  <c r="F30" s="1"/>
  <c r="G48" i="4"/>
  <c r="G51" s="1"/>
</calcChain>
</file>

<file path=xl/sharedStrings.xml><?xml version="1.0" encoding="utf-8"?>
<sst xmlns="http://schemas.openxmlformats.org/spreadsheetml/2006/main" count="1106" uniqueCount="749">
  <si>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</si>
  <si>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</si>
  <si>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</si>
  <si>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</si>
  <si>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</si>
  <si>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</si>
  <si>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</si>
  <si>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</si>
  <si>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</si>
  <si>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</si>
  <si>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</si>
  <si>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</si>
  <si>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</si>
  <si>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</si>
  <si>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</si>
  <si>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</si>
  <si>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</si>
  <si>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</si>
  <si>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</si>
  <si>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</si>
  <si>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</si>
  <si>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</si>
  <si>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</si>
  <si>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</si>
  <si>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</si>
  <si>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</si>
  <si>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</si>
  <si>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</si>
  <si>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</si>
  <si>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</si>
  <si>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</si>
  <si>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</si>
  <si>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</si>
  <si>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</si>
  <si>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</si>
  <si>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</si>
  <si>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</si>
  <si>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</si>
  <si>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</si>
  <si>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</si>
  <si>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</si>
  <si>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</si>
  <si>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</si>
  <si>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</si>
  <si>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</si>
  <si>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</si>
  <si>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</si>
  <si>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</si>
  <si>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</si>
  <si>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</si>
  <si>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</si>
  <si>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</si>
  <si>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</si>
  <si>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</si>
  <si>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</si>
  <si>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</si>
  <si>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</si>
  <si>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</si>
  <si>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</si>
  <si>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</si>
  <si>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</si>
  <si>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</si>
  <si>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</si>
  <si>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</si>
  <si>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</si>
  <si>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</si>
  <si>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</si>
  <si>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</si>
  <si>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</si>
  <si>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</si>
  <si>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</si>
  <si>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</si>
  <si>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</si>
  <si>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</si>
  <si>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</si>
  <si>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</si>
  <si>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</si>
  <si>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</si>
  <si>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</si>
  <si>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</si>
  <si>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</si>
  <si>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</si>
  <si>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</si>
  <si>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</si>
  <si>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</si>
  <si>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</si>
  <si>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</si>
  <si>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</si>
  <si>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</si>
  <si>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</si>
  <si>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</si>
  <si>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</si>
  <si>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</si>
  <si>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</si>
  <si>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</si>
  <si>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</si>
  <si>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</si>
  <si>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</si>
  <si>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</si>
  <si>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</si>
  <si>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</si>
  <si>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</si>
  <si>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</si>
  <si>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</si>
  <si>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</si>
  <si>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</si>
  <si>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</si>
  <si>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</si>
  <si>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</si>
  <si>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</si>
  <si>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</si>
  <si>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</si>
  <si>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</si>
  <si>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</si>
  <si>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</si>
  <si>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</si>
  <si>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</si>
  <si>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</si>
  <si>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</si>
  <si>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</si>
  <si>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</si>
  <si>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</si>
  <si>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</si>
  <si>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</si>
  <si>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</si>
  <si>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</si>
  <si>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</si>
  <si>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</si>
  <si>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</si>
  <si>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</si>
  <si>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</si>
  <si>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</si>
  <si>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</si>
  <si>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</si>
  <si>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</si>
  <si>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</si>
  <si>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</si>
  <si>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</si>
  <si>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</si>
  <si>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</si>
  <si>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</si>
  <si>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</si>
  <si>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</si>
  <si>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</si>
  <si>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</si>
  <si>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</si>
  <si>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</si>
  <si>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</si>
  <si>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</si>
  <si>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</si>
  <si>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</si>
  <si>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</si>
  <si>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</si>
  <si>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</si>
  <si>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</si>
  <si>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</si>
  <si>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</si>
  <si>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</si>
  <si>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</si>
  <si>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</si>
  <si>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</si>
  <si>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</si>
  <si>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</si>
  <si>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</si>
  <si>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</si>
  <si>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</si>
  <si>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</si>
  <si>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</si>
  <si>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</si>
  <si>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</si>
  <si>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</si>
  <si>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</si>
  <si>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</si>
  <si>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</si>
  <si>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</si>
  <si>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</si>
  <si>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</si>
  <si>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</si>
  <si>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</si>
  <si>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</si>
  <si>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</si>
  <si>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</si>
  <si>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</si>
  <si>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</si>
  <si>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</si>
  <si>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</si>
  <si>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</si>
  <si>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</si>
  <si>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</si>
  <si>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</si>
  <si>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</si>
  <si>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</si>
  <si>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</si>
  <si>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</si>
  <si>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</si>
  <si>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</si>
  <si>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</si>
  <si>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</si>
  <si>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</si>
  <si>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</si>
  <si>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</si>
  <si>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</si>
  <si>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</si>
  <si>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</si>
  <si>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</si>
  <si>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</si>
  <si>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</si>
  <si>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</si>
  <si>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</si>
  <si>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</si>
  <si>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</si>
  <si>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</si>
  <si>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</si>
  <si>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</si>
  <si>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</si>
  <si>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</si>
  <si>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</si>
  <si>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</si>
  <si>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</si>
  <si>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</si>
  <si>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</si>
  <si>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</si>
  <si>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</si>
  <si>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</si>
  <si>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</si>
  <si>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</si>
  <si>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</si>
  <si>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</si>
  <si>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</si>
  <si>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</si>
  <si>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</si>
  <si>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</si>
  <si>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</si>
  <si>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</si>
  <si>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</si>
  <si>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</si>
  <si>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</si>
  <si>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</si>
  <si>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</si>
  <si>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</si>
  <si>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</si>
  <si>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</si>
  <si>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</si>
  <si>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</si>
  <si>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</si>
  <si>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</si>
  <si>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</si>
  <si>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</si>
  <si>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</si>
  <si>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</si>
  <si>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</si>
  <si>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</si>
  <si>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</si>
  <si>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</si>
  <si>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</si>
  <si>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</si>
  <si>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</si>
  <si>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</si>
  <si>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</si>
  <si>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</si>
  <si>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</si>
  <si>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</si>
  <si>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</si>
  <si>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</si>
  <si>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</si>
  <si>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</si>
  <si>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</si>
  <si>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</si>
  <si>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</si>
  <si>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</si>
  <si>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</si>
  <si>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</si>
  <si>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</si>
  <si>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</si>
  <si>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</si>
  <si>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</si>
  <si>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</si>
  <si>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</si>
  <si>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</si>
  <si>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</si>
  <si>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</si>
  <si>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</si>
  <si>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</si>
  <si>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</si>
  <si>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</si>
  <si>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</si>
  <si>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</si>
  <si>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</si>
  <si>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</si>
  <si>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</si>
  <si>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</si>
  <si>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</si>
  <si>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</si>
  <si>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</si>
  <si>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</si>
  <si>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</si>
  <si>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</si>
  <si>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</si>
  <si>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</si>
  <si>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</si>
  <si>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</si>
  <si>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</si>
  <si>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</si>
  <si>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</si>
  <si>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</si>
  <si>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</si>
  <si>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</si>
  <si>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</si>
  <si>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</si>
  <si>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</si>
  <si>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</si>
  <si>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</si>
  <si>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</si>
  <si>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</si>
  <si>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</si>
  <si>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</si>
  <si>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</si>
  <si>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</si>
  <si>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</si>
  <si>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</si>
  <si>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</si>
  <si>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</si>
  <si>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</si>
  <si>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</si>
  <si>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</si>
  <si>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</si>
  <si>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</si>
  <si>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</si>
  <si>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</si>
  <si>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</si>
  <si>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</si>
  <si>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</si>
  <si>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</si>
  <si>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</si>
  <si>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</si>
  <si>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</si>
  <si>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</si>
  <si>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</si>
  <si>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</si>
  <si>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</si>
  <si>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</si>
  <si>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</si>
  <si>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</si>
  <si>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</si>
  <si>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</si>
  <si>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</si>
  <si>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</si>
  <si>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</si>
  <si>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</si>
  <si>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</si>
  <si>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</si>
  <si>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</si>
  <si>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</si>
  <si>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</si>
  <si>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</si>
  <si>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</si>
  <si>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</si>
  <si>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</si>
  <si>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</si>
  <si>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</si>
  <si>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</si>
  <si>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</si>
  <si>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</si>
  <si>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</si>
  <si>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</si>
  <si>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</si>
  <si>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</si>
  <si>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</si>
  <si>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</si>
  <si>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</si>
  <si>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</si>
  <si>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</si>
  <si>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</si>
  <si>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</si>
  <si>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</si>
  <si>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</si>
  <si>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</si>
  <si>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</si>
  <si>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</si>
  <si>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</si>
  <si>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</si>
  <si>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</si>
  <si>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</si>
  <si>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</si>
  <si>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</si>
  <si>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</si>
  <si>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</si>
  <si>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</si>
  <si>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</si>
  <si>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</si>
  <si>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</si>
  <si>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</si>
  <si>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</si>
  <si>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</si>
  <si>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</si>
  <si>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</si>
  <si>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</si>
  <si>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</si>
  <si>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</si>
  <si>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</si>
  <si>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</si>
  <si>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</si>
  <si>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</si>
  <si>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</si>
  <si>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</si>
  <si>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</si>
  <si>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</si>
  <si>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</si>
  <si>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</si>
  <si>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</si>
  <si>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</si>
  <si>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</si>
  <si>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</si>
  <si>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</si>
  <si>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</si>
  <si>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</si>
  <si>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</si>
  <si>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</si>
  <si>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</si>
  <si>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</si>
  <si>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</si>
  <si>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</si>
  <si>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</si>
  <si>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</si>
  <si>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</si>
  <si>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</si>
  <si>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</si>
  <si>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</si>
  <si>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</si>
  <si>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</si>
  <si>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</si>
  <si>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</si>
  <si>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</si>
  <si>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</si>
  <si>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</si>
  <si>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</si>
  <si>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</si>
  <si>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</si>
  <si>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</si>
  <si>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</si>
  <si>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</si>
  <si>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</si>
  <si>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</si>
  <si>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</si>
  <si>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</si>
  <si>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</si>
  <si>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</si>
  <si>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</si>
  <si>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</si>
  <si>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</si>
  <si>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</si>
  <si>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</si>
  <si>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</si>
  <si>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</si>
  <si>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</si>
  <si>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</si>
  <si>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</si>
  <si>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</si>
  <si>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</si>
  <si>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</si>
  <si>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</si>
  <si>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</si>
  <si>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</si>
  <si>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</si>
  <si>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</si>
  <si>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</si>
  <si>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</si>
  <si>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</si>
  <si>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</si>
  <si>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</si>
  <si>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</si>
  <si>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</si>
  <si>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</si>
  <si>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</si>
  <si>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</si>
  <si>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</si>
  <si>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</si>
  <si>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</si>
  <si>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</si>
  <si>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</si>
  <si>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</si>
  <si>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</si>
  <si>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</si>
  <si>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</si>
  <si>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</si>
  <si>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</si>
  <si>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</si>
  <si>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</si>
  <si>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</si>
  <si>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</si>
  <si>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</si>
  <si>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</si>
  <si>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</si>
  <si>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</si>
  <si>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</si>
  <si>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</si>
  <si>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</si>
  <si>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</si>
  <si>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</si>
  <si>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</si>
  <si>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</si>
  <si>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</si>
  <si>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</si>
  <si>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</si>
  <si>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</si>
  <si>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</si>
  <si>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</si>
  <si>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</si>
  <si>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</si>
  <si>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</si>
  <si>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</si>
  <si>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</si>
  <si>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</si>
  <si>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</si>
  <si>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</si>
  <si>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</si>
  <si>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</si>
  <si>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</si>
  <si>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</si>
  <si>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</si>
  <si>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</si>
  <si>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</si>
  <si>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</si>
  <si>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</si>
  <si>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</si>
  <si>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</si>
  <si>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</si>
  <si>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</si>
  <si>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</si>
  <si>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</si>
  <si>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</si>
  <si>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</si>
  <si>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</si>
  <si>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</si>
  <si>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</si>
  <si>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</si>
  <si>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</si>
  <si>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</si>
  <si>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</si>
  <si>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</si>
  <si>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</si>
  <si>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</si>
  <si>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</si>
  <si>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</si>
  <si>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</si>
  <si>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</si>
  <si>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</si>
  <si>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</si>
  <si>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</si>
  <si>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</si>
  <si>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</si>
  <si>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</si>
  <si>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</si>
  <si>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</si>
  <si>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</si>
  <si>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</si>
  <si>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</si>
  <si>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</si>
  <si>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</si>
  <si>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</si>
  <si>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</si>
  <si>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</si>
  <si>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</si>
  <si>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</si>
  <si>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</si>
  <si>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</si>
  <si>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</si>
  <si>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</si>
  <si>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</si>
  <si>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</si>
  <si>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</si>
  <si>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</si>
  <si>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</si>
  <si>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</si>
  <si>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</si>
  <si>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</si>
  <si>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</si>
  <si>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</si>
  <si>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</si>
  <si>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</si>
  <si>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</si>
  <si>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</si>
  <si>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</si>
  <si>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</si>
  <si>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</si>
  <si>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</si>
  <si>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</si>
  <si>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</si>
  <si>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</si>
  <si>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</si>
  <si>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</si>
  <si>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</si>
  <si>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</si>
  <si>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</si>
  <si>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</si>
  <si>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</si>
  <si>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</si>
  <si>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</si>
  <si>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</si>
  <si>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</si>
  <si>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</si>
  <si>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</si>
  <si>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</si>
  <si>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</si>
  <si>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</si>
  <si>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</si>
  <si>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</si>
  <si>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</si>
  <si>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</si>
  <si>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</si>
  <si>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</si>
  <si>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</si>
  <si>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</si>
  <si>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</si>
  <si>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</si>
  <si>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</si>
  <si>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</si>
  <si>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</si>
  <si>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</si>
  <si>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</si>
  <si>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</si>
  <si>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</si>
  <si>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</si>
  <si>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</si>
  <si>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</si>
  <si>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</si>
  <si>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</si>
  <si>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</si>
  <si>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</si>
  <si>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</si>
  <si>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</si>
  <si>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</si>
  <si>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</si>
  <si>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</si>
  <si>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</si>
  <si>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</si>
  <si>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</si>
  <si>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</si>
  <si>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</si>
  <si>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</si>
  <si>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</si>
  <si>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</si>
  <si>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</si>
  <si>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</si>
  <si>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</si>
  <si>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</si>
  <si>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</si>
  <si>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</si>
  <si>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</si>
  <si>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</si>
  <si>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</si>
  <si>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</si>
  <si>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</si>
  <si>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</si>
  <si>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</si>
  <si>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</si>
  <si>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</si>
  <si>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</si>
  <si>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</si>
  <si>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</si>
  <si>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</si>
  <si>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</si>
  <si>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</si>
  <si>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</si>
  <si>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</si>
  <si>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</si>
  <si>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</si>
  <si>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</si>
  <si>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</si>
  <si>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</si>
  <si>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</si>
  <si>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</si>
  <si>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</si>
  <si>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</si>
  <si>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</si>
  <si>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</si>
  <si>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</si>
  <si>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</si>
  <si>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</si>
  <si>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</si>
  <si>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</si>
  <si>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</si>
  <si>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</si>
  <si>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</si>
  <si>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</si>
  <si>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</si>
  <si>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</si>
  <si>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</si>
  <si>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</si>
  <si>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</si>
  <si>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</si>
  <si>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</si>
  <si>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</si>
  <si>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</si>
  <si>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</si>
  <si>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</si>
  <si>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</si>
  <si>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</si>
  <si>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</si>
  <si>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</si>
  <si>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</si>
  <si>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</si>
  <si>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</si>
  <si>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</si>
  <si>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</si>
  <si>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</si>
  <si>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</si>
  <si>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</si>
  <si>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</si>
  <si>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</si>
  <si>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</si>
  <si>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</si>
  <si>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</si>
  <si>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</si>
  <si>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</si>
  <si>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</si>
  <si>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</si>
  <si>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</si>
  <si>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</si>
  <si>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</si>
  <si>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</si>
  <si>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</si>
  <si>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</si>
  <si>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</si>
  <si>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</si>
  <si>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</si>
  <si>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</si>
  <si>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</si>
  <si>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</si>
  <si>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</si>
  <si>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</si>
  <si>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</si>
  <si>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</si>
  <si>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</si>
  <si>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Princeton Cemetery</t>
  </si>
  <si>
    <t>17-1330</t>
  </si>
  <si>
    <t>Princeton Fire Station</t>
  </si>
  <si>
    <t>Sales of Lots</t>
  </si>
  <si>
    <t>Opening &amp; Closing</t>
  </si>
  <si>
    <t>Misc</t>
  </si>
  <si>
    <t>Operations</t>
  </si>
  <si>
    <t>Mowing</t>
  </si>
  <si>
    <t>/s/ Wilma Atchison</t>
  </si>
  <si>
    <t>PrYr Tax Disbursement</t>
  </si>
  <si>
    <t>Capital Outlay</t>
  </si>
  <si>
    <t>Sexton</t>
  </si>
  <si>
    <t>Memorial Fund</t>
  </si>
  <si>
    <t>August 12, 2013</t>
  </si>
  <si>
    <t>7:00 p.m.</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</si>
</sst>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276</v>
      </c>
      <c r="E18" s="584"/>
    </row>
    <row r="19" spans="1:5">
      <c r="A19" s="18"/>
      <c r="B19" s="35" t="s">
        <v>10</v>
      </c>
      <c r="C19" s="426" t="s">
        <v>735</v>
      </c>
      <c r="D19" s="37">
        <v>22161</v>
      </c>
      <c r="E19" s="37">
        <v>14720</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14720</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22161</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1.9710000000000001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1.9710000000000001</v>
      </c>
      <c r="E42" s="39"/>
    </row>
    <row r="43" spans="1:5" ht="16.5" thickTop="1">
      <c r="A43" s="18"/>
      <c r="B43" s="18"/>
      <c r="C43" s="18"/>
      <c r="D43" s="18"/>
      <c r="E43" s="39"/>
    </row>
    <row r="44" spans="1:5">
      <c r="A44" s="51" t="str">
        <f>CONCATENATE("Total Tax Levied (",D6-2," budget column)")</f>
        <v>Total Tax Levied (2012 budget column)</v>
      </c>
      <c r="B44" s="29"/>
      <c r="C44" s="18"/>
      <c r="D44" s="18"/>
      <c r="E44" s="52">
        <v>14592</v>
      </c>
    </row>
    <row r="45" spans="1:5">
      <c r="A45" s="51" t="str">
        <f>CONCATENATE("Assessed Valuation (",D6-2," budget column)")</f>
        <v>Assessed Valuation (2012 budget column)</v>
      </c>
      <c r="B45" s="29"/>
      <c r="C45" s="18"/>
      <c r="D45" s="18"/>
      <c r="E45" s="53">
        <v>7407074</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B43" sqref="B43"/>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Princeton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7798734</v>
      </c>
    </row>
    <row r="8" spans="1:5" ht="15.75">
      <c r="A8" s="62" t="str">
        <f>CONCATENATE("New Improvements for ",inputPrYr!D6-1,"")</f>
        <v>New Improvements for 2013</v>
      </c>
      <c r="B8" s="63"/>
      <c r="C8" s="63"/>
      <c r="D8" s="63"/>
      <c r="E8" s="64">
        <v>36263</v>
      </c>
    </row>
    <row r="9" spans="1:5" ht="15.75">
      <c r="A9" s="62" t="str">
        <f>CONCATENATE("Personal Property excluding oil, gas, and mobile homes- ",inputPrYr!D6-1,"")</f>
        <v>Personal Property excluding oil, gas, and mobile homes- 2013</v>
      </c>
      <c r="B9" s="63"/>
      <c r="C9" s="63"/>
      <c r="D9" s="63"/>
      <c r="E9" s="64">
        <v>169123</v>
      </c>
    </row>
    <row r="10" spans="1:5" ht="15.75">
      <c r="A10" s="62" t="str">
        <f>CONCATENATE("Property that has changed in use for ",inputPrYr!D6-1,"")</f>
        <v>Property that has changed in use for 2013</v>
      </c>
      <c r="B10" s="63"/>
      <c r="C10" s="63"/>
      <c r="D10" s="63"/>
      <c r="E10" s="64">
        <v>62906</v>
      </c>
    </row>
    <row r="11" spans="1:5" ht="15.75">
      <c r="A11" s="61" t="str">
        <f>CONCATENATE("Personal Property excluding oil, gas, and mobile homes- ",inputPrYr!D6-2,"")</f>
        <v>Personal Property excluding oil, gas, and mobile homes- 2012</v>
      </c>
      <c r="B11" s="42"/>
      <c r="C11" s="42"/>
      <c r="D11" s="42"/>
      <c r="E11" s="64">
        <v>149254</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60</v>
      </c>
      <c r="E15" s="68"/>
    </row>
    <row r="16" spans="1:5" ht="15.75">
      <c r="A16" s="61" t="s">
        <v>10</v>
      </c>
      <c r="B16" s="42"/>
      <c r="C16" s="65"/>
      <c r="D16" s="70">
        <v>1.927</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1.927</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7642231</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1979</v>
      </c>
    </row>
    <row r="28" spans="1:5" ht="15.75">
      <c r="A28" s="62" t="s">
        <v>15</v>
      </c>
      <c r="B28" s="63"/>
      <c r="C28" s="63"/>
      <c r="D28" s="80"/>
      <c r="E28" s="37">
        <v>58</v>
      </c>
    </row>
    <row r="29" spans="1:5" ht="15.75">
      <c r="A29" s="62" t="s">
        <v>166</v>
      </c>
      <c r="B29" s="63"/>
      <c r="C29" s="63"/>
      <c r="D29" s="80"/>
      <c r="E29" s="37">
        <v>138</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210</v>
      </c>
      <c r="B41" s="88" t="s">
        <v>211</v>
      </c>
      <c r="C41" s="89" t="s">
        <v>212</v>
      </c>
      <c r="D41" s="90"/>
      <c r="E41" s="90"/>
    </row>
    <row r="42" spans="1:5" ht="15.75">
      <c r="A42" s="91" t="str">
        <f>inputPrYr!B19</f>
        <v>General</v>
      </c>
      <c r="B42" s="55">
        <v>38405</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C7" sqref="C7"/>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747</v>
      </c>
      <c r="C5" s="360"/>
      <c r="D5" s="358" t="s">
        <v>726</v>
      </c>
      <c r="E5" s="356"/>
      <c r="F5" s="356"/>
    </row>
    <row r="6" spans="1:6" ht="15.75">
      <c r="A6" s="358"/>
      <c r="B6" s="361"/>
      <c r="C6" s="362"/>
      <c r="D6" s="358" t="s">
        <v>725</v>
      </c>
      <c r="E6" s="356"/>
      <c r="F6" s="356"/>
    </row>
    <row r="7" spans="1:6" ht="15.75">
      <c r="A7" s="358" t="s">
        <v>321</v>
      </c>
      <c r="B7" s="359" t="s">
        <v>748</v>
      </c>
      <c r="C7" s="363"/>
      <c r="D7" s="358"/>
      <c r="E7" s="356"/>
      <c r="F7" s="356"/>
    </row>
    <row r="8" spans="1:6" ht="15.75">
      <c r="A8" s="358"/>
      <c r="B8" s="358"/>
      <c r="C8" s="358"/>
      <c r="D8" s="358"/>
      <c r="E8" s="356"/>
      <c r="F8" s="356"/>
    </row>
    <row r="9" spans="1:6" ht="15.75">
      <c r="A9" s="358" t="s">
        <v>322</v>
      </c>
      <c r="B9" s="364" t="s">
        <v>736</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7" workbookViewId="0">
      <selection activeCell="G30" sqref="G30"/>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Princeton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2013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35500</v>
      </c>
      <c r="F23" s="117">
        <f>IF(gen!$E$57&lt;&gt;0,gen!$E$57,"  ")</f>
        <v>14716</v>
      </c>
      <c r="G23" s="118">
        <v>1.885</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35500</v>
      </c>
      <c r="F29" s="405">
        <f>SUM(F23:F27)</f>
        <v>14716</v>
      </c>
      <c r="G29" s="409">
        <v>1.885</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7805681</v>
      </c>
    </row>
    <row r="32" spans="1:7">
      <c r="A32" s="136" t="s">
        <v>194</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4" zoomScale="85" workbookViewId="0">
      <selection activeCell="J30" sqref="J30"/>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Princeton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14720</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14720</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36263</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169123</v>
      </c>
      <c r="F14" s="149"/>
      <c r="G14" s="39"/>
      <c r="H14" s="39"/>
      <c r="I14" s="152"/>
      <c r="J14" s="39"/>
    </row>
    <row r="15" spans="1:10" ht="15.75">
      <c r="A15" s="148"/>
      <c r="B15" s="18" t="s">
        <v>98</v>
      </c>
      <c r="C15" s="18" t="str">
        <f>CONCATENATE("Personal Property ",J1-2,"")</f>
        <v>Personal Property 2012</v>
      </c>
      <c r="D15" s="148" t="s">
        <v>94</v>
      </c>
      <c r="E15" s="43">
        <f>inputOth!E11</f>
        <v>149254</v>
      </c>
      <c r="F15" s="149"/>
      <c r="G15" s="152"/>
      <c r="H15" s="152"/>
      <c r="I15" s="39"/>
      <c r="J15" s="39"/>
    </row>
    <row r="16" spans="1:10" ht="15.75">
      <c r="A16" s="148"/>
      <c r="B16" s="18" t="s">
        <v>99</v>
      </c>
      <c r="C16" s="18" t="s">
        <v>113</v>
      </c>
      <c r="D16" s="18"/>
      <c r="E16" s="39"/>
      <c r="F16" s="39" t="s">
        <v>91</v>
      </c>
      <c r="G16" s="151">
        <f>IF(E14&gt;E15,E14-E15,0)</f>
        <v>19869</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62906</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119038</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7798734</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7679696</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1.5500353138978419E-2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228</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14948</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14948</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Princeton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14720</v>
      </c>
      <c r="D11" s="121">
        <f>IF(E17=0,0,E17-D12-D13-D14)</f>
        <v>1979</v>
      </c>
      <c r="E11" s="121">
        <f>IF(E19=0,0,E19-E12-E13-E14)</f>
        <v>58</v>
      </c>
      <c r="F11" s="121">
        <f>IF(E21=0,0,E21-F12-F13-F14)</f>
        <v>138</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14720</v>
      </c>
      <c r="D15" s="130">
        <f>SUM(D11:D14)</f>
        <v>1979</v>
      </c>
      <c r="E15" s="130">
        <f>SUM(E11:E14)</f>
        <v>58</v>
      </c>
      <c r="F15" s="130">
        <f>SUM(F11:F14)</f>
        <v>138</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1979</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58</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138</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0.13444293478260869</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3.9402173913043476E-3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9.3749999999999997E-3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Princeton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Princeton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2" workbookViewId="0">
      <selection activeCell="E34" sqref="E34"/>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Princeton Cemetery</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14362</v>
      </c>
      <c r="D7" s="394">
        <f>C51</f>
        <v>21383</v>
      </c>
      <c r="E7" s="47">
        <f>D51</f>
        <v>17534</v>
      </c>
    </row>
    <row r="8" spans="2:6">
      <c r="B8" s="239" t="s">
        <v>126</v>
      </c>
      <c r="C8" s="240"/>
      <c r="D8" s="240"/>
      <c r="E8" s="121"/>
    </row>
    <row r="9" spans="2:6">
      <c r="B9" s="115" t="s">
        <v>33</v>
      </c>
      <c r="C9" s="387">
        <v>14677</v>
      </c>
      <c r="D9" s="394">
        <f>inputPrYr!E19</f>
        <v>14720</v>
      </c>
      <c r="E9" s="128" t="s">
        <v>28</v>
      </c>
    </row>
    <row r="10" spans="2:6">
      <c r="B10" s="115" t="s">
        <v>34</v>
      </c>
      <c r="C10" s="387"/>
      <c r="D10" s="387"/>
      <c r="E10" s="202"/>
    </row>
    <row r="11" spans="2:6">
      <c r="B11" s="115" t="s">
        <v>35</v>
      </c>
      <c r="C11" s="387">
        <v>1540</v>
      </c>
      <c r="D11" s="387">
        <v>1951</v>
      </c>
      <c r="E11" s="47">
        <f>mvalloc!D11</f>
        <v>1979</v>
      </c>
    </row>
    <row r="12" spans="2:6">
      <c r="B12" s="115" t="s">
        <v>36</v>
      </c>
      <c r="C12" s="387">
        <v>42</v>
      </c>
      <c r="D12" s="387">
        <v>62</v>
      </c>
      <c r="E12" s="47">
        <f>mvalloc!E11</f>
        <v>58</v>
      </c>
    </row>
    <row r="13" spans="2:6">
      <c r="B13" s="240" t="s">
        <v>108</v>
      </c>
      <c r="C13" s="387">
        <v>131</v>
      </c>
      <c r="D13" s="387">
        <v>125</v>
      </c>
      <c r="E13" s="47">
        <f>mvalloc!F11</f>
        <v>138</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737</v>
      </c>
      <c r="C17" s="387">
        <v>1420</v>
      </c>
      <c r="D17" s="387">
        <v>300</v>
      </c>
      <c r="E17" s="202">
        <v>900</v>
      </c>
    </row>
    <row r="18" spans="2:5">
      <c r="B18" s="241" t="s">
        <v>738</v>
      </c>
      <c r="C18" s="387">
        <v>350</v>
      </c>
      <c r="D18" s="387">
        <v>175</v>
      </c>
      <c r="E18" s="202">
        <v>175</v>
      </c>
    </row>
    <row r="19" spans="2:5">
      <c r="B19" s="241" t="s">
        <v>746</v>
      </c>
      <c r="C19" s="387">
        <v>1100</v>
      </c>
      <c r="D19" s="387"/>
      <c r="E19" s="202"/>
    </row>
    <row r="20" spans="2:5">
      <c r="B20" s="241" t="s">
        <v>739</v>
      </c>
      <c r="C20" s="387"/>
      <c r="D20" s="387">
        <v>475</v>
      </c>
      <c r="E20" s="202"/>
    </row>
    <row r="21" spans="2:5">
      <c r="B21" s="241" t="s">
        <v>743</v>
      </c>
      <c r="C21" s="387">
        <v>7801</v>
      </c>
      <c r="D21" s="387">
        <v>504</v>
      </c>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27061</v>
      </c>
      <c r="D28" s="389">
        <f>SUM(D9:D26)</f>
        <v>18312</v>
      </c>
      <c r="E28" s="247">
        <f>SUM(E9:E26)</f>
        <v>3250</v>
      </c>
    </row>
    <row r="29" spans="2:5">
      <c r="B29" s="246" t="s">
        <v>40</v>
      </c>
      <c r="C29" s="389">
        <f>C7+C28</f>
        <v>41423</v>
      </c>
      <c r="D29" s="389">
        <f>D7+D28</f>
        <v>39695</v>
      </c>
      <c r="E29" s="247">
        <f>E7+E28</f>
        <v>20784</v>
      </c>
    </row>
    <row r="30" spans="2:5">
      <c r="B30" s="115" t="s">
        <v>41</v>
      </c>
      <c r="C30" s="119"/>
      <c r="D30" s="119"/>
      <c r="E30" s="38"/>
    </row>
    <row r="31" spans="2:5">
      <c r="B31" s="241" t="s">
        <v>740</v>
      </c>
      <c r="C31" s="387">
        <v>12690</v>
      </c>
      <c r="D31" s="387">
        <v>10261</v>
      </c>
      <c r="E31" s="202">
        <v>16000</v>
      </c>
    </row>
    <row r="32" spans="2:5">
      <c r="B32" s="241" t="s">
        <v>741</v>
      </c>
      <c r="C32" s="387">
        <v>4050</v>
      </c>
      <c r="D32" s="387">
        <v>8600</v>
      </c>
      <c r="E32" s="202">
        <v>11000</v>
      </c>
    </row>
    <row r="33" spans="2:10">
      <c r="B33" s="241" t="s">
        <v>745</v>
      </c>
      <c r="C33" s="387">
        <v>3300</v>
      </c>
      <c r="D33" s="387">
        <v>3300</v>
      </c>
      <c r="E33" s="202">
        <v>3500</v>
      </c>
    </row>
    <row r="34" spans="2:10">
      <c r="B34" s="241" t="s">
        <v>744</v>
      </c>
      <c r="C34" s="387"/>
      <c r="D34" s="387"/>
      <c r="E34" s="202">
        <v>5000</v>
      </c>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17534</v>
      </c>
      <c r="H45" s="541" t="str">
        <f>CONCATENATE("",F3-1," Ending Cash Balance (est.)")</f>
        <v>2013 Ending Cash Balance (est.)</v>
      </c>
      <c r="I45" s="533"/>
      <c r="J45" s="534"/>
    </row>
    <row r="46" spans="2:10">
      <c r="B46" s="241"/>
      <c r="C46" s="387"/>
      <c r="D46" s="387"/>
      <c r="E46" s="202"/>
      <c r="G46" s="542">
        <f>E28</f>
        <v>3250</v>
      </c>
      <c r="H46" s="533" t="str">
        <f>CONCATENATE("",F3," Non-AV Receipts (est.)")</f>
        <v>2014 Non-AV Receipts (est.)</v>
      </c>
      <c r="I46" s="533"/>
      <c r="J46" s="534"/>
    </row>
    <row r="47" spans="2:10">
      <c r="B47" s="119" t="s">
        <v>218</v>
      </c>
      <c r="C47" s="387"/>
      <c r="D47" s="387"/>
      <c r="E47" s="207" t="str">
        <f>Nhood!E7</f>
        <v/>
      </c>
      <c r="G47" s="532">
        <f>E57</f>
        <v>14716</v>
      </c>
      <c r="H47" s="533" t="str">
        <f>CONCATENATE("",F3," Ad Valorem Tax (est.)")</f>
        <v>2014 Ad Valorem Tax (est.)</v>
      </c>
      <c r="I47" s="533"/>
      <c r="J47" s="534"/>
    </row>
    <row r="48" spans="2:10">
      <c r="B48" s="119" t="s">
        <v>217</v>
      </c>
      <c r="C48" s="387"/>
      <c r="D48" s="387"/>
      <c r="E48" s="37"/>
      <c r="G48" s="542">
        <f>SUM(G45:G47)</f>
        <v>35500</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20040</v>
      </c>
      <c r="D50" s="389">
        <f>SUM(D31:D48)</f>
        <v>22161</v>
      </c>
      <c r="E50" s="247">
        <f>SUM(E31:E48)</f>
        <v>35500</v>
      </c>
      <c r="G50" s="532">
        <f>C50*0.05+C50</f>
        <v>21042</v>
      </c>
      <c r="H50" s="533" t="str">
        <f>CONCATENATE("Less ",F3-2," Expenditures + 5%")</f>
        <v>Less 2012 Expenditures + 5%</v>
      </c>
      <c r="I50" s="533"/>
      <c r="J50" s="534"/>
    </row>
    <row r="51" spans="2:10">
      <c r="B51" s="115" t="s">
        <v>125</v>
      </c>
      <c r="C51" s="390">
        <f>C29-C50</f>
        <v>21383</v>
      </c>
      <c r="D51" s="390">
        <f>D29-D50</f>
        <v>17534</v>
      </c>
      <c r="E51" s="128" t="s">
        <v>28</v>
      </c>
      <c r="G51" s="530">
        <f>G48-G50</f>
        <v>14458</v>
      </c>
      <c r="H51" s="529" t="str">
        <f>CONCATENATE("Projected ",F3+1," Carryover (est.)")</f>
        <v>Projected 2015 Carryover (est.)</v>
      </c>
      <c r="I51" s="515"/>
      <c r="J51" s="528"/>
    </row>
    <row r="52" spans="2:10">
      <c r="B52" s="138" t="str">
        <f>CONCATENATE("",F3-2,"/",F3-1," Budget Authority Amount:")</f>
        <v>2012/2013 Budget Authority Amount:</v>
      </c>
      <c r="C52" s="116">
        <f>inputOth!B42</f>
        <v>38405</v>
      </c>
      <c r="D52" s="415">
        <f>inputPrYr!D19</f>
        <v>22161</v>
      </c>
      <c r="E52" s="128" t="s">
        <v>28</v>
      </c>
      <c r="F52" s="248"/>
      <c r="G52" s="16"/>
      <c r="H52" s="16"/>
      <c r="I52" s="16"/>
      <c r="J52" s="16"/>
    </row>
    <row r="53" spans="2:10">
      <c r="B53" s="138"/>
      <c r="C53" s="616" t="s">
        <v>673</v>
      </c>
      <c r="D53" s="617"/>
      <c r="E53" s="37"/>
      <c r="F53" s="248" t="str">
        <f>IF(E50/0.95-E50&lt;E53,"Exceeds 5%","")</f>
        <v/>
      </c>
      <c r="G53" s="527">
        <f>IF(inputOth!E7=0,"",ROUND(gen!E57/inputOth!E7*1000,3))</f>
        <v>1.887</v>
      </c>
      <c r="H53" s="526" t="str">
        <f>CONCATENATE("Projected ",F3-1," Mill Rate (est.)")</f>
        <v>Projected 2013 Mill Rate (est.)</v>
      </c>
      <c r="I53" s="525"/>
      <c r="J53" s="524"/>
    </row>
    <row r="54" spans="2:10">
      <c r="B54" s="413" t="str">
        <f>CONCATENATE(C70,"     ",D70)</f>
        <v xml:space="preserve">     </v>
      </c>
      <c r="C54" s="618" t="s">
        <v>674</v>
      </c>
      <c r="D54" s="619"/>
      <c r="E54" s="47">
        <f>E50+E53</f>
        <v>35500</v>
      </c>
      <c r="G54" s="523"/>
      <c r="H54" s="523"/>
      <c r="I54" s="523"/>
      <c r="J54" s="523"/>
    </row>
    <row r="55" spans="2:10">
      <c r="B55" s="413" t="str">
        <f>CONCATENATE(C71,"     ",D71)</f>
        <v xml:space="preserve">     </v>
      </c>
      <c r="C55" s="547"/>
      <c r="D55" s="546" t="s">
        <v>675</v>
      </c>
      <c r="E55" s="44">
        <f>IF(E54-E29&gt;0,E54-E29,0)</f>
        <v>14716</v>
      </c>
      <c r="G55" s="620" t="str">
        <f>CONCATENATE("Desired Carryover Into ",F3+1,"")</f>
        <v>Desired Carryover Into 2015</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14716</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Princeton Cemetery</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2015</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673</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Princeton Cemetery</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Princeton Cemetery</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Princeton Cemetery</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E17" sqref="E17"/>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2014</v>
      </c>
    </row>
    <row r="4" spans="1:13">
      <c r="A4" s="577" t="str">
        <f>inputPrYr!D3</f>
        <v>Princeton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12, 2013 at 7:00 p.m. at Princeton Fire Station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7" t="str">
        <f>CONCATENATE("Amount of ",I3-1," Ad Valorem Tax")</f>
        <v>Amount of 2013 Ad Valorem Tax</v>
      </c>
      <c r="H14" s="309" t="s">
        <v>574</v>
      </c>
      <c r="J14" s="558" t="s">
        <v>679</v>
      </c>
      <c r="K14" s="559"/>
      <c r="L14" s="559"/>
      <c r="M14" s="560">
        <f>ROUND(F21/1000,0)</f>
        <v>7799</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20040</v>
      </c>
      <c r="C16" s="118">
        <f>IF(inputPrYr!D38&gt;0,inputPrYr!D38,"  ")</f>
        <v>1.9710000000000001</v>
      </c>
      <c r="D16" s="121">
        <f>IF(gen!$D$50&lt;&gt;0,gen!$D$50,"  ")</f>
        <v>22161</v>
      </c>
      <c r="E16" s="118">
        <f>IF(inputOth!D16&gt;0,inputOth!D16,"  ")</f>
        <v>1.927</v>
      </c>
      <c r="F16" s="121">
        <f>IF(gen!$E$50&lt;&gt;0,gen!$E$50,"  ")</f>
        <v>35500</v>
      </c>
      <c r="G16" s="121">
        <f>IF(gen!$E$57&lt;&gt;0,gen!$E$57,"  ")</f>
        <v>14716</v>
      </c>
      <c r="H16" s="118">
        <f>IF(gen!E57&gt;0,ROUND(G16/$F$21*1000,3)," ")</f>
        <v>1.887</v>
      </c>
      <c r="J16" s="629" t="str">
        <f>CONCATENATE("Want The Mill Rate The Same As For ",I3-1,"?")</f>
        <v>Want The Mill Rate The Same As For 2013?</v>
      </c>
      <c r="K16" s="632"/>
      <c r="L16" s="632"/>
      <c r="M16" s="633"/>
    </row>
    <row r="17" spans="1:13">
      <c r="A17" s="35" t="s">
        <v>133</v>
      </c>
      <c r="B17" s="314">
        <f t="shared" ref="B17:H17" si="0">SUM(B16:B16)</f>
        <v>20040</v>
      </c>
      <c r="C17" s="537">
        <f t="shared" si="0"/>
        <v>1.9710000000000001</v>
      </c>
      <c r="D17" s="314">
        <f t="shared" si="0"/>
        <v>22161</v>
      </c>
      <c r="E17" s="537">
        <f t="shared" si="0"/>
        <v>1.927</v>
      </c>
      <c r="F17" s="314">
        <f t="shared" si="0"/>
        <v>35500</v>
      </c>
      <c r="G17" s="314">
        <f t="shared" si="0"/>
        <v>14716</v>
      </c>
      <c r="H17" s="537">
        <f t="shared" si="0"/>
        <v>1.887</v>
      </c>
      <c r="J17" s="629" t="str">
        <f>CONCATENATE("Impact On Keeping The Same Mill Rate As For ",I3-1,"")</f>
        <v>Impact On Keeping The Same Mill Rate As For 2013</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20040</v>
      </c>
      <c r="C19" s="313"/>
      <c r="D19" s="129">
        <f>SUM(D17-D18)</f>
        <v>22161</v>
      </c>
      <c r="E19" s="313"/>
      <c r="F19" s="536">
        <f>SUM(F17-F18)</f>
        <v>35500</v>
      </c>
      <c r="G19" s="253"/>
      <c r="H19" s="312"/>
      <c r="J19" s="561" t="str">
        <f>CONCATENATE("",I3," Ad Valorem Tax Revenue:")</f>
        <v>2014 Ad Valorem Tax Revenue:</v>
      </c>
      <c r="K19" s="556"/>
      <c r="L19" s="556"/>
      <c r="M19" s="557">
        <f>G17</f>
        <v>14716</v>
      </c>
    </row>
    <row r="20" spans="1:13" ht="16.5" thickTop="1">
      <c r="A20" s="35" t="s">
        <v>54</v>
      </c>
      <c r="B20" s="314">
        <f>inputPrYr!E44</f>
        <v>14592</v>
      </c>
      <c r="C20" s="223"/>
      <c r="D20" s="314">
        <f>inputPrYr!E24</f>
        <v>14720</v>
      </c>
      <c r="E20" s="223"/>
      <c r="F20" s="315" t="s">
        <v>169</v>
      </c>
      <c r="G20" s="18"/>
      <c r="H20" s="18"/>
      <c r="J20" s="561" t="str">
        <f>CONCATENATE("",I3-1," Ad Valorem Tax Revenue:")</f>
        <v>2013 Ad Valorem Tax Revenue:</v>
      </c>
      <c r="K20" s="556"/>
      <c r="L20" s="556"/>
      <c r="M20" s="563" t="e">
        <f>ROUND(F21*#REF!/1000,0)</f>
        <v>#REF!</v>
      </c>
    </row>
    <row r="21" spans="1:13">
      <c r="A21" s="35" t="s">
        <v>165</v>
      </c>
      <c r="B21" s="207">
        <f>inputPrYr!E45</f>
        <v>7407074</v>
      </c>
      <c r="C21" s="223"/>
      <c r="D21" s="207">
        <f>inputOth!E24</f>
        <v>7642231</v>
      </c>
      <c r="E21" s="223"/>
      <c r="F21" s="207">
        <f>inputOth!E7</f>
        <v>7798734</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742</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Princeton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7798734</v>
      </c>
      <c r="E16" s="18"/>
      <c r="F16" s="54"/>
    </row>
    <row r="17" spans="1:6" ht="15.75">
      <c r="A17" s="18"/>
      <c r="B17" s="18"/>
      <c r="C17" s="18"/>
      <c r="D17" s="18"/>
      <c r="E17" s="18"/>
      <c r="F17" s="54"/>
    </row>
    <row r="18" spans="1:6" ht="15.75">
      <c r="A18" s="18"/>
      <c r="B18" s="644" t="s">
        <v>318</v>
      </c>
      <c r="C18" s="644"/>
      <c r="D18" s="325">
        <f>IF(D16&gt;0,(D16*0.001),"")</f>
        <v>7798.7340000000004</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Princeton Cemetery District with respect to financing the 2014 annual budget for Princeton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Princeton Cemetery district budget exceed the amount levied to finance the</v>
      </c>
      <c r="C9"/>
      <c r="D9"/>
      <c r="E9"/>
      <c r="F9"/>
      <c r="G9"/>
      <c r="H9"/>
    </row>
    <row r="10" spans="2:10">
      <c r="B10" s="12" t="str">
        <f>CONCATENATE("",inputPrYr!D6-1," ",inputPrYr!D3," except with regard to revenue produced and attributable to the")</f>
        <v>2013 Princeton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Princeton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Princeton Cemetery that is our desire to notify the public of the possibility of increased property taxes to finance the 2014 Princeton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2013 by the Princeton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Princeton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2013-07-22T17:05:41Z</cp:lastPrinted>
  <dcterms:created xsi:type="dcterms:W3CDTF">1999-08-06T13:59:57Z</dcterms:created>
  <dcterms:modified xsi:type="dcterms:W3CDTF">2013-11-07T17:55:54Z</dcterms:modified>
</cp:coreProperties>
</file>