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E13" s="1"/>
  <c r="H48" i="4"/>
  <c r="D39" i="5"/>
  <c r="D77"/>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D18" s="1"/>
  <c r="H30" i="17"/>
  <c r="F30"/>
  <c r="C14" i="7"/>
  <c r="C13"/>
  <c r="C12"/>
  <c r="C11"/>
  <c r="E24" i="2"/>
  <c r="D20" i="8" s="1"/>
  <c r="J6" i="10"/>
  <c r="D36" i="2"/>
  <c r="A45"/>
  <c r="A44"/>
  <c r="E1" i="15"/>
  <c r="H60"/>
  <c r="C61"/>
  <c r="E17" i="7"/>
  <c r="E19"/>
  <c r="E21"/>
  <c r="E23"/>
  <c r="G13"/>
  <c r="E14" i="5" s="1"/>
  <c r="D9"/>
  <c r="D21"/>
  <c r="C21"/>
  <c r="C22"/>
  <c r="C34"/>
  <c r="C33"/>
  <c r="D33"/>
  <c r="D9" i="16"/>
  <c r="E30" i="5"/>
  <c r="E33" s="1"/>
  <c r="D47"/>
  <c r="D59"/>
  <c r="D58" s="1"/>
  <c r="C59"/>
  <c r="C60"/>
  <c r="C71"/>
  <c r="D71"/>
  <c r="D10" i="16"/>
  <c r="E68" i="5"/>
  <c r="E71" s="1"/>
  <c r="D9" i="15"/>
  <c r="D30" s="1"/>
  <c r="C30"/>
  <c r="C31"/>
  <c r="C55"/>
  <c r="C54"/>
  <c r="G59"/>
  <c r="D54"/>
  <c r="G54"/>
  <c r="D8" i="16"/>
  <c r="E51" i="15"/>
  <c r="E54" s="1"/>
  <c r="D35" i="5"/>
  <c r="D87" s="1"/>
  <c r="C35"/>
  <c r="F3"/>
  <c r="D6" s="1"/>
  <c r="D44" s="1"/>
  <c r="D73"/>
  <c r="D89" s="1"/>
  <c r="C73"/>
  <c r="D33" i="6"/>
  <c r="C33"/>
  <c r="C34" s="1"/>
  <c r="F3"/>
  <c r="B33" s="1"/>
  <c r="C66"/>
  <c r="D66"/>
  <c r="C64"/>
  <c r="C52"/>
  <c r="C53"/>
  <c r="C65"/>
  <c r="D64"/>
  <c r="D67"/>
  <c r="E64"/>
  <c r="D52"/>
  <c r="E52"/>
  <c r="C31"/>
  <c r="C19"/>
  <c r="C20"/>
  <c r="D31"/>
  <c r="D19"/>
  <c r="E19"/>
  <c r="E31"/>
  <c r="D52" i="4"/>
  <c r="D50"/>
  <c r="D49" s="1"/>
  <c r="D56" i="15"/>
  <c r="C56"/>
  <c r="C69" s="1"/>
  <c r="B56"/>
  <c r="G11" i="7"/>
  <c r="E15" i="4" s="1"/>
  <c r="E14"/>
  <c r="D9"/>
  <c r="D28" s="1"/>
  <c r="C28"/>
  <c r="C29" s="1"/>
  <c r="C50"/>
  <c r="C49" s="1"/>
  <c r="D7" i="16"/>
  <c r="C52" i="4"/>
  <c r="F3"/>
  <c r="C6" s="1"/>
  <c r="E6" i="6"/>
  <c r="E39"/>
  <c r="C6"/>
  <c r="D6" i="15"/>
  <c r="E6"/>
  <c r="C6" i="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20" i="16"/>
  <c r="D22"/>
  <c r="B10"/>
  <c r="B9"/>
  <c r="B8"/>
  <c r="B7"/>
  <c r="F1"/>
  <c r="A16" s="1"/>
  <c r="A1"/>
  <c r="D11"/>
  <c r="D12"/>
  <c r="C13"/>
  <c r="A47" i="14"/>
  <c r="A46"/>
  <c r="A45"/>
  <c r="A44"/>
  <c r="A43"/>
  <c r="A42"/>
  <c r="E1"/>
  <c r="A39" s="1"/>
  <c r="J2" i="7"/>
  <c r="C9" s="1"/>
  <c r="D22" i="14"/>
  <c r="I3" i="8"/>
  <c r="A10" s="1"/>
  <c r="A37" i="2"/>
  <c r="A15"/>
  <c r="E20" i="9"/>
  <c r="E16"/>
  <c r="E12"/>
  <c r="K20"/>
  <c r="J20"/>
  <c r="I20"/>
  <c r="H20"/>
  <c r="K16"/>
  <c r="J16"/>
  <c r="I16"/>
  <c r="H16"/>
  <c r="K12"/>
  <c r="K21"/>
  <c r="J12"/>
  <c r="J21"/>
  <c r="I12"/>
  <c r="I21"/>
  <c r="H12"/>
  <c r="H21"/>
  <c r="K1"/>
  <c r="E8" s="1"/>
  <c r="F28" s="1"/>
  <c r="F21" i="8"/>
  <c r="M14" s="1"/>
  <c r="E16"/>
  <c r="B39" i="2"/>
  <c r="B21" i="8"/>
  <c r="A10" i="14"/>
  <c r="A8"/>
  <c r="A7"/>
  <c r="B5" i="12"/>
  <c r="B27"/>
  <c r="B31"/>
  <c r="B10"/>
  <c r="B9"/>
  <c r="B19"/>
  <c r="B23"/>
  <c r="D21" i="8"/>
  <c r="E24" i="13"/>
  <c r="E26"/>
  <c r="F18" i="8"/>
  <c r="D16"/>
  <c r="D24" i="13"/>
  <c r="D26"/>
  <c r="D18" i="8"/>
  <c r="C24" i="13"/>
  <c r="C26"/>
  <c r="B18" i="8"/>
  <c r="F1" i="13"/>
  <c r="E9" s="1"/>
  <c r="A3"/>
  <c r="A2"/>
  <c r="C44" i="5"/>
  <c r="C39" i="6"/>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B20"/>
  <c r="A16"/>
  <c r="A4"/>
  <c r="B14" i="7"/>
  <c r="B13"/>
  <c r="B2"/>
  <c r="B1"/>
  <c r="B11"/>
  <c r="C18" i="6"/>
  <c r="D18"/>
  <c r="E18"/>
  <c r="C51"/>
  <c r="D51"/>
  <c r="E51"/>
  <c r="C29" i="15"/>
  <c r="C53"/>
  <c r="D53"/>
  <c r="A18" i="3"/>
  <c r="B4" i="16"/>
  <c r="D13"/>
  <c r="C78" i="5"/>
  <c r="B66" i="6"/>
  <c r="C15" i="7"/>
  <c r="A11" i="3"/>
  <c r="B18" i="17"/>
  <c r="B29"/>
  <c r="B30"/>
  <c r="K18"/>
  <c r="C30" i="6"/>
  <c r="J7" i="9"/>
  <c r="H28"/>
  <c r="A36" i="10"/>
  <c r="B40" i="14"/>
  <c r="D6" i="4"/>
  <c r="E13" i="3"/>
  <c r="A10"/>
  <c r="C40" i="14"/>
  <c r="D6" i="6"/>
  <c r="D39" s="1"/>
  <c r="G12" i="7"/>
  <c r="E14" i="15" s="1"/>
  <c r="K28" i="17"/>
  <c r="E6" i="16"/>
  <c r="G28" i="9"/>
  <c r="A26" i="16"/>
  <c r="C6"/>
  <c r="B6"/>
  <c r="H7" i="9"/>
  <c r="D6" i="16"/>
  <c r="A35" i="14"/>
  <c r="C46" i="3"/>
  <c r="G14" i="7"/>
  <c r="E52" i="5" s="1"/>
  <c r="C32" i="6"/>
  <c r="D7"/>
  <c r="D20"/>
  <c r="D32"/>
  <c r="C40" i="5"/>
  <c r="B52" i="4"/>
  <c r="C70"/>
  <c r="A14" i="14"/>
  <c r="C67" i="6"/>
  <c r="C35"/>
  <c r="C87" i="5"/>
  <c r="B37" s="1"/>
  <c r="E17" i="8"/>
  <c r="C17"/>
  <c r="D27" i="7"/>
  <c r="E13" s="1"/>
  <c r="D69" i="15"/>
  <c r="F31" i="7"/>
  <c r="J5" i="10"/>
  <c r="J7" s="1"/>
  <c r="C89" i="5"/>
  <c r="B75" s="1"/>
  <c r="D20"/>
  <c r="J83" i="26"/>
  <c r="J123"/>
  <c r="J103"/>
  <c r="E12" i="7"/>
  <c r="E12" i="15" s="1"/>
  <c r="E77" i="5"/>
  <c r="E39"/>
  <c r="E60" i="15"/>
  <c r="E56" i="4"/>
  <c r="D34" i="6"/>
  <c r="G43" i="4"/>
  <c r="H53"/>
  <c r="G59"/>
  <c r="G52" i="15"/>
  <c r="H55"/>
  <c r="H57"/>
  <c r="H59"/>
  <c r="H62"/>
  <c r="H45" i="4"/>
  <c r="H47"/>
  <c r="H54" i="15"/>
  <c r="H56"/>
  <c r="E21" i="9"/>
  <c r="G50" i="4"/>
  <c r="D7" i="15"/>
  <c r="C70"/>
  <c r="C72" i="5"/>
  <c r="D45"/>
  <c r="D60"/>
  <c r="D72" s="1"/>
  <c r="C90"/>
  <c r="C88"/>
  <c r="D7"/>
  <c r="D22"/>
  <c r="D34" s="1"/>
  <c r="C68" i="6"/>
  <c r="D40"/>
  <c r="D53"/>
  <c r="D65"/>
  <c r="E7"/>
  <c r="E20"/>
  <c r="E32"/>
  <c r="E33"/>
  <c r="D35"/>
  <c r="J30" i="17"/>
  <c r="K29"/>
  <c r="K30"/>
  <c r="E40" i="6"/>
  <c r="E53"/>
  <c r="E65"/>
  <c r="E66"/>
  <c r="D68"/>
  <c r="J59" i="4"/>
  <c r="J58"/>
  <c r="D70" l="1"/>
  <c r="B54" s="1"/>
  <c r="B16" i="8"/>
  <c r="B17" s="1"/>
  <c r="B19" s="1"/>
  <c r="C27" i="4"/>
  <c r="E14" i="7"/>
  <c r="E50" i="5" s="1"/>
  <c r="D12" i="7"/>
  <c r="E11" i="15" s="1"/>
  <c r="C25" i="7"/>
  <c r="D14" s="1"/>
  <c r="E49" i="5" s="1"/>
  <c r="E37"/>
  <c r="F36"/>
  <c r="E32"/>
  <c r="E24" i="3"/>
  <c r="E47" i="4"/>
  <c r="E50" s="1"/>
  <c r="E54" s="1"/>
  <c r="M20" i="8"/>
  <c r="G15" i="7"/>
  <c r="E29"/>
  <c r="B73" i="5"/>
  <c r="G55" i="4"/>
  <c r="A11" i="8"/>
  <c r="H51" i="4"/>
  <c r="H46"/>
  <c r="E6" i="5"/>
  <c r="E44" s="1"/>
  <c r="A6" i="14"/>
  <c r="B35" i="5"/>
  <c r="C57" i="4"/>
  <c r="H50"/>
  <c r="E6"/>
  <c r="A24" i="14"/>
  <c r="F15" i="3"/>
  <c r="A26" i="14"/>
  <c r="C9" i="13"/>
  <c r="J12" i="8"/>
  <c r="D13"/>
  <c r="F13"/>
  <c r="J17"/>
  <c r="J16"/>
  <c r="G14"/>
  <c r="B13"/>
  <c r="J20"/>
  <c r="J19"/>
  <c r="C51" i="4"/>
  <c r="C71" s="1"/>
  <c r="E12" i="5"/>
  <c r="E49" i="4"/>
  <c r="F74" i="5"/>
  <c r="E25" i="3"/>
  <c r="E70" i="5"/>
  <c r="E75"/>
  <c r="D9" i="13"/>
  <c r="B29" s="1"/>
  <c r="G16" i="10"/>
  <c r="G20" s="1"/>
  <c r="G24" s="1"/>
  <c r="G26" s="1"/>
  <c r="J28" s="1"/>
  <c r="J30" s="1"/>
  <c r="D17" i="8"/>
  <c r="D19" s="1"/>
  <c r="E45" i="5"/>
  <c r="D90"/>
  <c r="B76" s="1"/>
  <c r="D29" i="15"/>
  <c r="D31"/>
  <c r="D55" s="1"/>
  <c r="A12" i="14"/>
  <c r="B58" i="15"/>
  <c r="D70"/>
  <c r="B59" s="1"/>
  <c r="E7"/>
  <c r="D88" i="5"/>
  <c r="B38" s="1"/>
  <c r="E7"/>
  <c r="D27" i="4"/>
  <c r="F57" i="15"/>
  <c r="E58"/>
  <c r="E53"/>
  <c r="F16" i="8" l="1"/>
  <c r="F17" s="1"/>
  <c r="F19" s="1"/>
  <c r="E11" i="7"/>
  <c r="E15" s="1"/>
  <c r="D13"/>
  <c r="D11" s="1"/>
  <c r="E23" i="3"/>
  <c r="E29" s="1"/>
  <c r="F53" i="4"/>
  <c r="F12" i="7"/>
  <c r="F14"/>
  <c r="E51" i="5" s="1"/>
  <c r="E59" s="1"/>
  <c r="E60" s="1"/>
  <c r="E76" s="1"/>
  <c r="E78" s="1"/>
  <c r="E58" s="1"/>
  <c r="F13" i="7"/>
  <c r="E13" i="5" s="1"/>
  <c r="E11"/>
  <c r="E21" s="1"/>
  <c r="E22" s="1"/>
  <c r="E38" s="1"/>
  <c r="E40" s="1"/>
  <c r="D7" i="4"/>
  <c r="D29" s="1"/>
  <c r="D51" s="1"/>
  <c r="D71" s="1"/>
  <c r="B55" s="1"/>
  <c r="G25" i="3"/>
  <c r="E12" i="4" l="1"/>
  <c r="E11"/>
  <c r="D15" i="7"/>
  <c r="F25" i="3"/>
  <c r="G24"/>
  <c r="F24"/>
  <c r="E20" i="5"/>
  <c r="F11" i="7"/>
  <c r="E13" i="15"/>
  <c r="E30" s="1"/>
  <c r="G45" i="4"/>
  <c r="E7"/>
  <c r="E13" l="1"/>
  <c r="E28" s="1"/>
  <c r="G46" s="1"/>
  <c r="F15" i="7"/>
  <c r="G55" i="15"/>
  <c r="E31"/>
  <c r="E59" s="1"/>
  <c r="E61" s="1"/>
  <c r="E29" i="4"/>
  <c r="E55" s="1"/>
  <c r="E57" s="1"/>
  <c r="G53" s="1"/>
  <c r="G16" i="8" l="1"/>
  <c r="G17" s="1"/>
  <c r="M19" s="1"/>
  <c r="M21" s="1"/>
  <c r="F23" i="3"/>
  <c r="F29" s="1"/>
  <c r="G62" i="15"/>
  <c r="G56"/>
  <c r="G57" s="1"/>
  <c r="G60" s="1"/>
  <c r="J32" i="10"/>
  <c r="J34" s="1"/>
  <c r="E29" i="15"/>
  <c r="G47" i="4"/>
  <c r="G48" s="1"/>
  <c r="G51" s="1"/>
  <c r="E27"/>
  <c r="F30" i="3" l="1"/>
  <c r="H16" i="8"/>
  <c r="H17" s="1"/>
</calcChain>
</file>

<file path=xl/sharedStrings.xml><?xml version="1.0" encoding="utf-8"?>
<sst xmlns="http://schemas.openxmlformats.org/spreadsheetml/2006/main" count="1100" uniqueCount="743">
  <si>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</si>
  <si>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</si>
  <si>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</si>
  <si>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</si>
  <si>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</si>
  <si>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</si>
  <si>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</si>
  <si>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</si>
  <si>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</si>
  <si>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</si>
  <si>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</si>
  <si>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</si>
  <si>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</si>
  <si>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</si>
  <si>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</si>
  <si>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</si>
  <si>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</si>
  <si>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</si>
  <si>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</si>
  <si>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</si>
  <si>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</si>
  <si>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</si>
  <si>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</si>
  <si>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</si>
  <si>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</si>
  <si>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</si>
  <si>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</si>
  <si>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</si>
  <si>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</si>
  <si>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</si>
  <si>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</si>
  <si>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</si>
  <si>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</si>
  <si>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</si>
  <si>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</si>
  <si>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</si>
  <si>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</si>
  <si>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</si>
  <si>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</si>
  <si>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</si>
  <si>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</si>
  <si>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</si>
  <si>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</si>
  <si>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</si>
  <si>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</si>
  <si>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</si>
  <si>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</si>
  <si>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</si>
  <si>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</si>
  <si>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</si>
  <si>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</si>
  <si>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</si>
  <si>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</si>
  <si>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</si>
  <si>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</si>
  <si>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</si>
  <si>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</si>
  <si>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</si>
  <si>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</si>
  <si>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</si>
  <si>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</si>
  <si>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</si>
  <si>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</si>
  <si>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</si>
  <si>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</si>
  <si>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</si>
  <si>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</si>
  <si>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</si>
  <si>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</si>
  <si>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</si>
  <si>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</si>
  <si>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</si>
  <si>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</si>
  <si>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</si>
  <si>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</si>
  <si>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</si>
  <si>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</si>
  <si>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</si>
  <si>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</si>
  <si>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</si>
  <si>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</si>
  <si>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</si>
  <si>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</si>
  <si>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</si>
  <si>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</si>
  <si>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</si>
  <si>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</si>
  <si>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</si>
  <si>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</si>
  <si>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</si>
  <si>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</si>
  <si>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</si>
  <si>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</si>
  <si>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</si>
  <si>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</si>
  <si>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</si>
  <si>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</si>
  <si>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</si>
  <si>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</si>
  <si>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</si>
  <si>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</si>
  <si>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</si>
  <si>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</si>
  <si>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</si>
  <si>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</si>
  <si>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</si>
  <si>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</si>
  <si>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</si>
  <si>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</si>
  <si>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</si>
  <si>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</si>
  <si>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</si>
  <si>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</si>
  <si>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</si>
  <si>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</si>
  <si>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</si>
  <si>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</si>
  <si>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</si>
  <si>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</si>
  <si>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</si>
  <si>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</si>
  <si>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</si>
  <si>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</si>
  <si>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</si>
  <si>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</si>
  <si>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</si>
  <si>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</si>
  <si>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</si>
  <si>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</si>
  <si>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</si>
  <si>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</si>
  <si>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</si>
  <si>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</si>
  <si>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</si>
  <si>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</si>
  <si>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</si>
  <si>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</si>
  <si>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</si>
  <si>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</si>
  <si>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</si>
  <si>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</si>
  <si>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</si>
  <si>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</si>
  <si>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</si>
  <si>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</si>
  <si>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</si>
  <si>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</si>
  <si>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</si>
  <si>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</si>
  <si>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</si>
  <si>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</si>
  <si>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</si>
  <si>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</si>
  <si>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</si>
  <si>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</si>
  <si>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</si>
  <si>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</si>
  <si>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</si>
  <si>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</si>
  <si>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</si>
  <si>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</si>
  <si>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</si>
  <si>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</si>
  <si>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</si>
  <si>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</si>
  <si>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</si>
  <si>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</si>
  <si>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</si>
  <si>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</si>
  <si>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</si>
  <si>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</si>
  <si>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</si>
  <si>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</si>
  <si>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</si>
  <si>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</si>
  <si>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</si>
  <si>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</si>
  <si>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</si>
  <si>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</si>
  <si>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</si>
  <si>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</si>
  <si>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</si>
  <si>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</si>
  <si>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</si>
  <si>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</si>
  <si>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</si>
  <si>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</si>
  <si>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</si>
  <si>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</si>
  <si>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</si>
  <si>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</si>
  <si>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</si>
  <si>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</si>
  <si>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</si>
  <si>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</si>
  <si>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</si>
  <si>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</si>
  <si>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</si>
  <si>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</si>
  <si>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</si>
  <si>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</si>
  <si>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</si>
  <si>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</si>
  <si>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</si>
  <si>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</si>
  <si>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</si>
  <si>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</si>
  <si>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</si>
  <si>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</si>
  <si>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</si>
  <si>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</si>
  <si>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</si>
  <si>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</si>
  <si>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</si>
  <si>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</si>
  <si>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</si>
  <si>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</si>
  <si>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</si>
  <si>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</si>
  <si>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</si>
  <si>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</si>
  <si>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</si>
  <si>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</si>
  <si>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</si>
  <si>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</si>
  <si>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</si>
  <si>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</si>
  <si>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</si>
  <si>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</si>
  <si>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</si>
  <si>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</si>
  <si>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</si>
  <si>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</si>
  <si>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</si>
  <si>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</si>
  <si>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</si>
  <si>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</si>
  <si>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</si>
  <si>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</si>
  <si>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</si>
  <si>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</si>
  <si>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</si>
  <si>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</si>
  <si>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</si>
  <si>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</si>
  <si>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</si>
  <si>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</si>
  <si>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</si>
  <si>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</si>
  <si>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</si>
  <si>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</si>
  <si>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</si>
  <si>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</si>
  <si>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</si>
  <si>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</si>
  <si>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</si>
  <si>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</si>
  <si>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</si>
  <si>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</si>
  <si>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</si>
  <si>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</si>
  <si>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</si>
  <si>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</si>
  <si>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</si>
  <si>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</si>
  <si>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</si>
  <si>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</si>
  <si>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</si>
  <si>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</si>
  <si>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</si>
  <si>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</si>
  <si>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</si>
  <si>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</si>
  <si>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</si>
  <si>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</si>
  <si>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</si>
  <si>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</si>
  <si>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</si>
  <si>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</si>
  <si>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</si>
  <si>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</si>
  <si>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</si>
  <si>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</si>
  <si>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</si>
  <si>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</si>
  <si>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</si>
  <si>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</si>
  <si>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</si>
  <si>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</si>
  <si>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</si>
  <si>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</si>
  <si>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</si>
  <si>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</si>
  <si>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</si>
  <si>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</si>
  <si>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</si>
  <si>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</si>
  <si>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</si>
  <si>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</si>
  <si>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</si>
  <si>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</si>
  <si>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</si>
  <si>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</si>
  <si>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</si>
  <si>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</si>
  <si>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</si>
  <si>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</si>
  <si>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</si>
  <si>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</si>
  <si>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</si>
  <si>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</si>
  <si>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</si>
  <si>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</si>
  <si>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</si>
  <si>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</si>
  <si>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</si>
  <si>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</si>
  <si>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</si>
  <si>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</si>
  <si>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</si>
  <si>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</si>
  <si>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</si>
  <si>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</si>
  <si>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</si>
  <si>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</si>
  <si>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</si>
  <si>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</si>
  <si>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</si>
  <si>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</si>
  <si>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</si>
  <si>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</si>
  <si>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</si>
  <si>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</si>
  <si>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</si>
  <si>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</si>
  <si>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</si>
  <si>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</si>
  <si>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</si>
  <si>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</si>
  <si>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</si>
  <si>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</si>
  <si>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</si>
  <si>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</si>
  <si>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</si>
  <si>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</si>
  <si>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</si>
  <si>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</si>
  <si>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</si>
  <si>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</si>
  <si>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</si>
  <si>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</si>
  <si>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</si>
  <si>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</si>
  <si>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</si>
  <si>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</si>
  <si>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</si>
  <si>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</si>
  <si>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</si>
  <si>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</si>
  <si>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</si>
  <si>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</si>
  <si>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</si>
  <si>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</si>
  <si>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</si>
  <si>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</si>
  <si>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</si>
  <si>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</si>
  <si>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</si>
  <si>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</si>
  <si>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</si>
  <si>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</si>
  <si>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</si>
  <si>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</si>
  <si>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</si>
  <si>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</si>
  <si>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</si>
  <si>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</si>
  <si>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</si>
  <si>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</si>
  <si>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</si>
  <si>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</si>
  <si>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</si>
  <si>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</si>
  <si>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</si>
  <si>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</si>
  <si>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</si>
  <si>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</si>
  <si>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</si>
  <si>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</si>
  <si>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</si>
  <si>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</si>
  <si>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</si>
  <si>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</si>
  <si>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</si>
  <si>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</si>
  <si>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</si>
  <si>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</si>
  <si>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</si>
  <si>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</si>
  <si>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</si>
  <si>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</si>
  <si>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</si>
  <si>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</si>
  <si>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</si>
  <si>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</si>
  <si>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</si>
  <si>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</si>
  <si>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</si>
  <si>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</si>
  <si>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</si>
  <si>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</si>
  <si>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</si>
  <si>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</si>
  <si>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</si>
  <si>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</si>
  <si>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</si>
  <si>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</si>
  <si>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</si>
  <si>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</si>
  <si>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</si>
  <si>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</si>
  <si>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</si>
  <si>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</si>
  <si>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</si>
  <si>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</si>
  <si>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</si>
  <si>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</si>
  <si>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</si>
  <si>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</si>
  <si>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</si>
  <si>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</si>
  <si>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</si>
  <si>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</si>
  <si>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</si>
  <si>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</si>
  <si>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</si>
  <si>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</si>
  <si>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</si>
  <si>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</si>
  <si>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</si>
  <si>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</si>
  <si>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</si>
  <si>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</si>
  <si>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</si>
  <si>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</si>
  <si>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</si>
  <si>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</si>
  <si>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</si>
  <si>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</si>
  <si>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</si>
  <si>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</si>
  <si>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</si>
  <si>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</si>
  <si>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</si>
  <si>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</si>
  <si>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</si>
  <si>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</si>
  <si>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</si>
  <si>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</si>
  <si>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</si>
  <si>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</si>
  <si>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</si>
  <si>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</si>
  <si>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</si>
  <si>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</si>
  <si>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</si>
  <si>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</si>
  <si>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</si>
  <si>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</si>
  <si>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</si>
  <si>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</si>
  <si>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</si>
  <si>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</si>
  <si>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</si>
  <si>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</si>
  <si>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</si>
  <si>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</si>
  <si>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</si>
  <si>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</si>
  <si>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</si>
  <si>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</si>
  <si>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</si>
  <si>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</si>
  <si>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</si>
  <si>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</si>
  <si>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</si>
  <si>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</si>
  <si>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</si>
  <si>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</si>
  <si>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</si>
  <si>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</si>
  <si>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</si>
  <si>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</si>
  <si>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</si>
  <si>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</si>
  <si>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</si>
  <si>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</si>
  <si>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</si>
  <si>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</si>
  <si>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</si>
  <si>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</si>
  <si>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</si>
  <si>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</si>
  <si>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</si>
  <si>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</si>
  <si>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</si>
  <si>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</si>
  <si>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</si>
  <si>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</si>
  <si>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</si>
  <si>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</si>
  <si>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</si>
  <si>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</si>
  <si>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</si>
  <si>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</si>
  <si>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</si>
  <si>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</si>
  <si>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</si>
  <si>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</si>
  <si>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</si>
  <si>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</si>
  <si>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</si>
  <si>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</si>
  <si>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</si>
  <si>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</si>
  <si>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</si>
  <si>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</si>
  <si>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</si>
  <si>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</si>
  <si>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</si>
  <si>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</si>
  <si>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</si>
  <si>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</si>
  <si>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</si>
  <si>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</si>
  <si>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</si>
  <si>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</si>
  <si>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</si>
  <si>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</si>
  <si>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</si>
  <si>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</si>
  <si>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</si>
  <si>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</si>
  <si>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</si>
  <si>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</si>
  <si>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</si>
  <si>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</si>
  <si>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</si>
  <si>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</si>
  <si>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</si>
  <si>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</si>
  <si>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</si>
  <si>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</si>
  <si>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</si>
  <si>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</si>
  <si>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</si>
  <si>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</si>
  <si>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</si>
  <si>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</si>
  <si>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</si>
  <si>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</si>
  <si>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</si>
  <si>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</si>
  <si>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</si>
  <si>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</si>
  <si>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</si>
  <si>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</si>
  <si>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</si>
  <si>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</si>
  <si>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</si>
  <si>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</si>
  <si>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</si>
  <si>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</si>
  <si>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</si>
  <si>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</si>
  <si>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</si>
  <si>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</si>
  <si>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</si>
  <si>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</si>
  <si>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</si>
  <si>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</si>
  <si>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</si>
  <si>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</si>
  <si>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</si>
  <si>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</si>
  <si>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</si>
  <si>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</si>
  <si>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</si>
  <si>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</si>
  <si>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</si>
  <si>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</si>
  <si>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</si>
  <si>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</si>
  <si>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</si>
  <si>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</si>
  <si>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</si>
  <si>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</si>
  <si>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</si>
  <si>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</si>
  <si>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</si>
  <si>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</si>
  <si>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</si>
  <si>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</si>
  <si>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</si>
  <si>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</si>
  <si>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</si>
  <si>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</si>
  <si>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</si>
  <si>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</si>
  <si>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</si>
  <si>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</si>
  <si>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</si>
  <si>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</si>
  <si>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</si>
  <si>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</si>
  <si>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</si>
  <si>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</si>
  <si>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</si>
  <si>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</si>
  <si>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</si>
  <si>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</si>
  <si>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</si>
  <si>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</si>
  <si>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</si>
  <si>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</si>
  <si>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</si>
  <si>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</si>
  <si>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</si>
  <si>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</si>
  <si>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</si>
  <si>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</si>
  <si>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</si>
  <si>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</si>
  <si>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</si>
  <si>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</si>
  <si>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</si>
  <si>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</si>
  <si>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</si>
  <si>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</si>
  <si>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</si>
  <si>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</si>
  <si>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</si>
  <si>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</si>
  <si>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</si>
  <si>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</si>
  <si>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</si>
  <si>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</si>
  <si>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</si>
  <si>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</si>
  <si>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</si>
  <si>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</si>
  <si>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</si>
  <si>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</si>
  <si>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</si>
  <si>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</si>
  <si>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</si>
  <si>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</si>
  <si>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</si>
  <si>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</si>
  <si>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</si>
  <si>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</si>
  <si>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</si>
  <si>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</si>
  <si>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</si>
  <si>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</si>
  <si>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</si>
  <si>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</si>
  <si>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</si>
  <si>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</si>
  <si>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</si>
  <si>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</si>
  <si>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</si>
  <si>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</si>
  <si>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</si>
  <si>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</si>
  <si>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</si>
  <si>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</si>
  <si>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</si>
  <si>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</si>
  <si>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</si>
  <si>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</si>
  <si>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</si>
  <si>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</si>
  <si>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</si>
  <si>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</si>
  <si>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</si>
  <si>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</si>
  <si>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</si>
  <si>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</si>
  <si>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</si>
  <si>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</si>
  <si>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</si>
  <si>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</si>
  <si>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</si>
  <si>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</si>
  <si>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</si>
  <si>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</si>
  <si>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</si>
  <si>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</si>
  <si>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</si>
  <si>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</si>
  <si>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</si>
  <si>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</si>
  <si>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</si>
  <si>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</si>
  <si>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</si>
  <si>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</si>
  <si>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</si>
  <si>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</si>
  <si>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</si>
  <si>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</si>
  <si>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</si>
  <si>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</si>
  <si>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</si>
  <si>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</si>
  <si>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</si>
  <si>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</si>
  <si>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</si>
  <si>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</si>
  <si>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</si>
  <si>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</si>
  <si>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</si>
  <si>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</si>
  <si>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</si>
  <si>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</si>
  <si>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</si>
  <si>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</si>
  <si>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</si>
  <si>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</si>
  <si>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</si>
  <si>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</si>
  <si>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</si>
  <si>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</si>
  <si>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S Centropolis Fire</t>
  </si>
  <si>
    <t>80-1546</t>
  </si>
  <si>
    <t>8:00 p.m.</t>
  </si>
  <si>
    <t>3124 Indiana Rd</t>
  </si>
  <si>
    <t>Publication</t>
  </si>
  <si>
    <t>Pomona Township Fire</t>
  </si>
  <si>
    <t xml:space="preserve">Capital Outlay </t>
  </si>
  <si>
    <t>August 7, 2013</t>
  </si>
  <si>
    <t>/s/Sherry Harris</t>
  </si>
  <si>
    <t>Treasurer</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</si>
</sst>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0" fillId="0" borderId="0" xfId="0" applyAlignment="1">
      <alignment vertical="top" wrapText="1"/>
    </xf>
    <xf numFmtId="178" fontId="37" fillId="14"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7"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7" fillId="12" borderId="0" xfId="0" applyFont="1" applyFill="1" applyAlignment="1">
      <alignment wrapText="1"/>
    </xf>
    <xf numFmtId="178" fontId="37" fillId="12" borderId="0" xfId="0" applyNumberFormat="1" applyFont="1" applyFill="1" applyAlignment="1"/>
    <xf numFmtId="0" fontId="51" fillId="12" borderId="19" xfId="0" applyFont="1" applyFill="1" applyBorder="1" applyAlignment="1">
      <alignment horizontal="center" vertical="center"/>
    </xf>
    <xf numFmtId="0" fontId="37" fillId="0" borderId="0" xfId="0" applyFont="1" applyAlignment="1">
      <alignment wrapText="1"/>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5" fontId="37" fillId="12" borderId="1" xfId="0" applyNumberFormat="1" applyFont="1" applyFill="1" applyBorder="1" applyAlignment="1">
      <alignment horizont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37" fillId="12" borderId="0" xfId="0" applyFont="1" applyFill="1" applyBorder="1" applyAlignment="1">
      <alignment horizontal="center"/>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75</v>
      </c>
      <c r="B1" s="338"/>
    </row>
    <row r="2" spans="1:2">
      <c r="A2" s="337"/>
      <c r="B2" s="338"/>
    </row>
    <row r="3" spans="1:2" ht="35.25" customHeight="1">
      <c r="A3" s="339" t="s">
        <v>172</v>
      </c>
    </row>
    <row r="4" spans="1:2">
      <c r="A4" s="340"/>
    </row>
    <row r="5" spans="1:2">
      <c r="A5" s="340" t="s">
        <v>226</v>
      </c>
    </row>
    <row r="6" spans="1:2">
      <c r="A6" s="340"/>
    </row>
    <row r="7" spans="1:2" ht="57.75" customHeight="1">
      <c r="A7" s="341" t="s">
        <v>265</v>
      </c>
    </row>
    <row r="8" spans="1:2">
      <c r="A8" s="340"/>
    </row>
    <row r="9" spans="1:2">
      <c r="A9" s="342" t="s">
        <v>220</v>
      </c>
      <c r="B9" s="338"/>
    </row>
    <row r="10" spans="1:2">
      <c r="A10" s="342"/>
      <c r="B10" s="338"/>
    </row>
    <row r="11" spans="1:2">
      <c r="A11" s="340" t="s">
        <v>221</v>
      </c>
      <c r="B11" s="338"/>
    </row>
    <row r="12" spans="1:2" ht="14.25" customHeight="1">
      <c r="A12" s="146"/>
    </row>
    <row r="13" spans="1:2" s="331" customFormat="1" ht="42" customHeight="1">
      <c r="A13" s="343" t="s">
        <v>266</v>
      </c>
    </row>
    <row r="16" spans="1:2">
      <c r="A16" s="342" t="s">
        <v>5</v>
      </c>
    </row>
    <row r="17" spans="1:1">
      <c r="A17" s="146"/>
    </row>
    <row r="18" spans="1:1">
      <c r="A18" s="266" t="s">
        <v>215</v>
      </c>
    </row>
    <row r="19" spans="1:1" ht="17.25" customHeight="1">
      <c r="A19" s="343" t="s">
        <v>127</v>
      </c>
    </row>
    <row r="20" spans="1:1" ht="24.75" customHeight="1">
      <c r="A20" s="344" t="s">
        <v>126</v>
      </c>
    </row>
    <row r="21" spans="1:1" ht="52.5" customHeight="1">
      <c r="A21" s="345" t="s">
        <v>128</v>
      </c>
    </row>
    <row r="22" spans="1:1" ht="20.25" customHeight="1">
      <c r="A22" s="346" t="s">
        <v>173</v>
      </c>
    </row>
    <row r="23" spans="1:1" s="347" customFormat="1" ht="20.25" customHeight="1">
      <c r="A23" s="301" t="s">
        <v>219</v>
      </c>
    </row>
    <row r="24" spans="1:1" ht="21" customHeight="1">
      <c r="A24" s="343" t="s">
        <v>74</v>
      </c>
    </row>
    <row r="25" spans="1:1">
      <c r="A25" s="146"/>
    </row>
    <row r="26" spans="1:1">
      <c r="A26" s="348" t="s">
        <v>6</v>
      </c>
    </row>
    <row r="28" spans="1:1" ht="21" customHeight="1">
      <c r="A28" s="331" t="s">
        <v>145</v>
      </c>
    </row>
    <row r="30" spans="1:1" ht="71.25" customHeight="1">
      <c r="A30" s="331" t="s">
        <v>702</v>
      </c>
    </row>
    <row r="31" spans="1:1" ht="49.5" customHeight="1">
      <c r="A31" s="349" t="s">
        <v>218</v>
      </c>
    </row>
    <row r="32" spans="1:1" ht="74.099999999999994" customHeight="1">
      <c r="A32" s="380" t="s">
        <v>530</v>
      </c>
    </row>
    <row r="33" spans="1:1" ht="69.95" customHeight="1">
      <c r="A33" s="381" t="s">
        <v>531</v>
      </c>
    </row>
    <row r="35" spans="1:1" ht="71.25" customHeight="1">
      <c r="A35" s="331" t="s">
        <v>703</v>
      </c>
    </row>
    <row r="36" spans="1:1" ht="57.75" customHeight="1">
      <c r="A36" s="331" t="s">
        <v>532</v>
      </c>
    </row>
    <row r="37" spans="1:1" ht="105" customHeight="1">
      <c r="A37" s="331" t="s">
        <v>533</v>
      </c>
    </row>
    <row r="38" spans="1:1">
      <c r="A38" s="331"/>
    </row>
    <row r="39" spans="1:1" ht="70.5" customHeight="1">
      <c r="A39" s="331" t="s">
        <v>534</v>
      </c>
    </row>
    <row r="40" spans="1:1" ht="70.5" customHeight="1">
      <c r="A40" s="331" t="s">
        <v>535</v>
      </c>
    </row>
    <row r="41" spans="1:1" ht="39" customHeight="1">
      <c r="A41" s="331" t="s">
        <v>536</v>
      </c>
    </row>
    <row r="42" spans="1:1">
      <c r="A42" s="331"/>
    </row>
    <row r="43" spans="1:1" ht="71.25" customHeight="1">
      <c r="A43" s="331" t="s">
        <v>537</v>
      </c>
    </row>
    <row r="44" spans="1:1" ht="42" customHeight="1">
      <c r="A44" s="331" t="s">
        <v>538</v>
      </c>
    </row>
    <row r="45" spans="1:1" ht="44.25" customHeight="1">
      <c r="A45" s="331" t="s">
        <v>539</v>
      </c>
    </row>
    <row r="47" spans="1:1" ht="51.75" customHeight="1">
      <c r="A47" s="331" t="s">
        <v>540</v>
      </c>
    </row>
    <row r="49" spans="1:1" ht="35.25" customHeight="1">
      <c r="A49" s="331" t="s">
        <v>541</v>
      </c>
    </row>
    <row r="50" spans="1:1" ht="23.25" customHeight="1">
      <c r="A50" s="92" t="s">
        <v>542</v>
      </c>
    </row>
    <row r="51" spans="1:1" ht="72.75" customHeight="1">
      <c r="A51" s="331" t="s">
        <v>557</v>
      </c>
    </row>
    <row r="52" spans="1:1" ht="29.25" customHeight="1">
      <c r="A52" s="331" t="s">
        <v>543</v>
      </c>
    </row>
    <row r="54" spans="1:1" ht="72" customHeight="1">
      <c r="A54" s="331" t="s">
        <v>544</v>
      </c>
    </row>
    <row r="56" spans="1:1" ht="67.5" customHeight="1">
      <c r="A56" s="331" t="s">
        <v>545</v>
      </c>
    </row>
    <row r="57" spans="1:1">
      <c r="A57" s="331"/>
    </row>
    <row r="58" spans="1:1" ht="53.25" customHeight="1">
      <c r="A58" s="331" t="s">
        <v>546</v>
      </c>
    </row>
    <row r="59" spans="1:1" ht="70.5" customHeight="1">
      <c r="A59" s="571" t="s">
        <v>704</v>
      </c>
    </row>
    <row r="60" spans="1:1" ht="53.25" customHeight="1">
      <c r="A60" s="571" t="s">
        <v>705</v>
      </c>
    </row>
    <row r="61" spans="1:1" ht="53.25" customHeight="1">
      <c r="A61" s="572" t="s">
        <v>706</v>
      </c>
    </row>
    <row r="62" spans="1:1" ht="68.25" customHeight="1">
      <c r="A62" s="571" t="s">
        <v>707</v>
      </c>
    </row>
    <row r="63" spans="1:1" ht="69" customHeight="1">
      <c r="A63" s="331" t="s">
        <v>708</v>
      </c>
    </row>
    <row r="64" spans="1:1" ht="90" customHeight="1">
      <c r="A64" s="331" t="s">
        <v>709</v>
      </c>
    </row>
    <row r="65" spans="1:1" ht="113.25" customHeight="1">
      <c r="A65" s="351" t="s">
        <v>710</v>
      </c>
    </row>
    <row r="66" spans="1:1" ht="105.75" customHeight="1">
      <c r="A66" s="352" t="s">
        <v>711</v>
      </c>
    </row>
    <row r="67" spans="1:1" ht="77.25" customHeight="1">
      <c r="A67" s="353" t="s">
        <v>712</v>
      </c>
    </row>
    <row r="68" spans="1:1" ht="91.5" customHeight="1">
      <c r="A68" s="331" t="s">
        <v>713</v>
      </c>
    </row>
    <row r="69" spans="1:1" ht="113.25" customHeight="1">
      <c r="A69" s="354" t="s">
        <v>714</v>
      </c>
    </row>
    <row r="70" spans="1:1" ht="11.25" customHeight="1">
      <c r="A70" s="331"/>
    </row>
    <row r="71" spans="1:1" ht="120.75" customHeight="1">
      <c r="A71" s="331" t="s">
        <v>547</v>
      </c>
    </row>
    <row r="72" spans="1:1" ht="108" customHeight="1">
      <c r="A72" s="350" t="s">
        <v>548</v>
      </c>
    </row>
    <row r="73" spans="1:1" ht="66" customHeight="1">
      <c r="A73" s="350" t="s">
        <v>549</v>
      </c>
    </row>
    <row r="74" spans="1:1" ht="21" customHeight="1">
      <c r="A74" s="331" t="s">
        <v>550</v>
      </c>
    </row>
    <row r="75" spans="1:1" ht="11.25" customHeight="1">
      <c r="A75" s="331"/>
    </row>
    <row r="76" spans="1:1" s="331" customFormat="1" ht="50.25" customHeight="1">
      <c r="A76" s="331" t="s">
        <v>551</v>
      </c>
    </row>
    <row r="77" spans="1:1" s="331" customFormat="1" ht="23.25" customHeight="1">
      <c r="A77" s="331" t="s">
        <v>554</v>
      </c>
    </row>
    <row r="78" spans="1:1" s="331" customFormat="1" ht="70.5" customHeight="1">
      <c r="A78" s="571" t="s">
        <v>715</v>
      </c>
    </row>
    <row r="79" spans="1:1" s="331" customFormat="1" ht="88.5" customHeight="1">
      <c r="A79" s="571" t="s">
        <v>716</v>
      </c>
    </row>
    <row r="80" spans="1:1" s="331" customFormat="1" ht="43.5" customHeight="1">
      <c r="A80" s="331" t="s">
        <v>717</v>
      </c>
    </row>
    <row r="81" spans="1:1" s="331" customFormat="1" ht="54" customHeight="1">
      <c r="A81" s="331" t="s">
        <v>718</v>
      </c>
    </row>
    <row r="83" spans="1:1" s="331" customFormat="1" ht="33.75" customHeight="1">
      <c r="A83" s="331" t="s">
        <v>552</v>
      </c>
    </row>
    <row r="85" spans="1:1" ht="21.75" customHeight="1">
      <c r="A85" s="331" t="s">
        <v>553</v>
      </c>
    </row>
    <row r="87" spans="1:1" ht="49.5" customHeight="1">
      <c r="A87" s="571" t="s">
        <v>719</v>
      </c>
    </row>
    <row r="88" spans="1:1" ht="81.75" customHeight="1">
      <c r="A88" s="571" t="s">
        <v>720</v>
      </c>
    </row>
    <row r="89" spans="1:1" ht="97.5" customHeight="1">
      <c r="A89" s="571" t="s">
        <v>721</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304</v>
      </c>
    </row>
    <row r="2" spans="1:1" ht="15.75">
      <c r="A2" s="92"/>
    </row>
    <row r="3" spans="1:1" ht="47.25">
      <c r="A3" s="333" t="s">
        <v>305</v>
      </c>
    </row>
    <row r="4" spans="1:1" ht="15.75">
      <c r="A4" s="334"/>
    </row>
    <row r="5" spans="1:1" ht="15.75">
      <c r="A5" s="92"/>
    </row>
    <row r="6" spans="1:1" ht="63">
      <c r="A6" s="333" t="s">
        <v>306</v>
      </c>
    </row>
    <row r="7" spans="1:1" ht="15.75">
      <c r="A7" s="334"/>
    </row>
    <row r="8" spans="1:1" ht="15.75">
      <c r="A8" s="92"/>
    </row>
    <row r="9" spans="1:1" ht="47.25">
      <c r="A9" s="333" t="s">
        <v>307</v>
      </c>
    </row>
    <row r="10" spans="1:1" ht="15.75">
      <c r="A10" s="334"/>
    </row>
    <row r="11" spans="1:1" ht="15.75">
      <c r="A11" s="334"/>
    </row>
    <row r="12" spans="1:1" ht="31.5">
      <c r="A12" s="333" t="s">
        <v>308</v>
      </c>
    </row>
    <row r="13" spans="1:1" ht="15.75">
      <c r="A13" s="92"/>
    </row>
    <row r="14" spans="1:1" ht="15.75">
      <c r="A14" s="92"/>
    </row>
    <row r="15" spans="1:1" ht="47.25">
      <c r="A15" s="333" t="s">
        <v>309</v>
      </c>
    </row>
    <row r="16" spans="1:1" ht="15.75">
      <c r="A16" s="92"/>
    </row>
    <row r="17" spans="1:1" ht="15.75">
      <c r="A17" s="92"/>
    </row>
    <row r="18" spans="1:1" ht="63">
      <c r="A18" s="512" t="s">
        <v>668</v>
      </c>
    </row>
    <row r="19" spans="1:1" ht="15.75">
      <c r="A19" s="92"/>
    </row>
    <row r="20" spans="1:1" ht="15.75">
      <c r="A20" s="92"/>
    </row>
    <row r="21" spans="1:1" ht="63">
      <c r="A21" s="355" t="s">
        <v>310</v>
      </c>
    </row>
    <row r="22" spans="1:1" ht="15.75">
      <c r="A22" s="334"/>
    </row>
    <row r="23" spans="1:1" ht="15.75">
      <c r="A23" s="92"/>
    </row>
    <row r="24" spans="1:1" ht="63">
      <c r="A24" s="333" t="s">
        <v>311</v>
      </c>
    </row>
    <row r="25" spans="1:1" ht="47.25">
      <c r="A25" s="335" t="s">
        <v>312</v>
      </c>
    </row>
    <row r="26" spans="1:1" ht="15.75">
      <c r="A26" s="334"/>
    </row>
    <row r="27" spans="1:1" ht="15.75">
      <c r="A27" s="92"/>
    </row>
    <row r="28" spans="1:1" ht="63">
      <c r="A28" s="512" t="s">
        <v>669</v>
      </c>
    </row>
    <row r="29" spans="1:1" ht="15.75">
      <c r="A29" s="92"/>
    </row>
    <row r="30" spans="1:1" ht="15.75">
      <c r="A30" s="92"/>
    </row>
    <row r="31" spans="1:1" ht="78.75">
      <c r="A31" s="512" t="s">
        <v>670</v>
      </c>
    </row>
    <row r="32" spans="1:1" ht="15.75">
      <c r="A32" s="92"/>
    </row>
    <row r="33" spans="1:1" ht="15.75">
      <c r="A33" s="92"/>
    </row>
    <row r="34" spans="1:1" ht="47.25">
      <c r="A34" s="513" t="s">
        <v>671</v>
      </c>
    </row>
    <row r="35" spans="1:1" ht="15.75">
      <c r="A35" s="92"/>
    </row>
    <row r="36" spans="1:1" ht="15.75">
      <c r="A36" s="92"/>
    </row>
    <row r="37" spans="1:1" ht="78.75">
      <c r="A37" s="333" t="s">
        <v>313</v>
      </c>
    </row>
    <row r="38" spans="1:1" ht="15.75">
      <c r="A38" s="334"/>
    </row>
    <row r="39" spans="1:1" ht="15.75">
      <c r="A39" s="334"/>
    </row>
    <row r="40" spans="1:1" ht="47.25">
      <c r="A40" s="355" t="s">
        <v>314</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S Centropolis Fire</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83</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56</v>
      </c>
      <c r="C6" s="98" t="s">
        <v>65</v>
      </c>
      <c r="D6" s="98"/>
      <c r="E6" s="98" t="s">
        <v>31</v>
      </c>
      <c r="F6" s="190"/>
      <c r="G6" s="191"/>
      <c r="H6" s="190" t="s">
        <v>57</v>
      </c>
      <c r="I6" s="191"/>
      <c r="J6" s="190" t="s">
        <v>57</v>
      </c>
      <c r="K6" s="191"/>
    </row>
    <row r="7" spans="1:11" s="188" customFormat="1">
      <c r="A7" s="18"/>
      <c r="B7" s="101" t="s">
        <v>58</v>
      </c>
      <c r="C7" s="101" t="s">
        <v>59</v>
      </c>
      <c r="D7" s="101" t="s">
        <v>31</v>
      </c>
      <c r="E7" s="101" t="s">
        <v>130</v>
      </c>
      <c r="F7" s="192" t="s">
        <v>60</v>
      </c>
      <c r="G7" s="193"/>
      <c r="H7" s="192">
        <f>K1-1</f>
        <v>2013</v>
      </c>
      <c r="I7" s="193"/>
      <c r="J7" s="192">
        <f>K1</f>
        <v>2014</v>
      </c>
      <c r="K7" s="193"/>
    </row>
    <row r="8" spans="1:11" s="188" customFormat="1">
      <c r="A8" s="194" t="s">
        <v>61</v>
      </c>
      <c r="B8" s="110" t="s">
        <v>62</v>
      </c>
      <c r="C8" s="110" t="s">
        <v>43</v>
      </c>
      <c r="D8" s="110" t="s">
        <v>63</v>
      </c>
      <c r="E8" s="195" t="str">
        <f>CONCATENATE("Jan 1,",K1-1,"")</f>
        <v>Jan 1,2013</v>
      </c>
      <c r="F8" s="107" t="s">
        <v>65</v>
      </c>
      <c r="G8" s="107" t="s">
        <v>66</v>
      </c>
      <c r="H8" s="107" t="s">
        <v>65</v>
      </c>
      <c r="I8" s="107" t="s">
        <v>66</v>
      </c>
      <c r="J8" s="107" t="s">
        <v>65</v>
      </c>
      <c r="K8" s="107" t="s">
        <v>66</v>
      </c>
    </row>
    <row r="9" spans="1:11" s="188" customFormat="1">
      <c r="A9" s="35" t="s">
        <v>174</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175</v>
      </c>
      <c r="B12" s="204"/>
      <c r="C12" s="205"/>
      <c r="D12" s="206"/>
      <c r="E12" s="207">
        <f>SUM(E10:E11)</f>
        <v>0</v>
      </c>
      <c r="F12" s="208"/>
      <c r="G12" s="208"/>
      <c r="H12" s="207">
        <f>SUM(H10:H11)</f>
        <v>0</v>
      </c>
      <c r="I12" s="207">
        <f>SUM(I10:I11)</f>
        <v>0</v>
      </c>
      <c r="J12" s="207">
        <f>SUM(J10:J11)</f>
        <v>0</v>
      </c>
      <c r="K12" s="207">
        <f>SUM(K10:K11)</f>
        <v>0</v>
      </c>
    </row>
    <row r="13" spans="1:11" s="188" customFormat="1">
      <c r="A13" s="203" t="s">
        <v>176</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177</v>
      </c>
      <c r="B16" s="204"/>
      <c r="C16" s="205"/>
      <c r="D16" s="206"/>
      <c r="E16" s="121">
        <f>SUM(E14:E15)</f>
        <v>0</v>
      </c>
      <c r="F16" s="208"/>
      <c r="G16" s="208"/>
      <c r="H16" s="207">
        <f>SUM(H14:H15)</f>
        <v>0</v>
      </c>
      <c r="I16" s="207">
        <f>SUM(I14:I15)</f>
        <v>0</v>
      </c>
      <c r="J16" s="207">
        <f>SUM(J14:J15)</f>
        <v>0</v>
      </c>
      <c r="K16" s="207">
        <f>SUM(K14:K15)</f>
        <v>0</v>
      </c>
    </row>
    <row r="17" spans="1:24" s="188" customFormat="1">
      <c r="A17" s="203" t="s">
        <v>178</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179</v>
      </c>
      <c r="B20" s="209"/>
      <c r="C20" s="210"/>
      <c r="D20" s="47"/>
      <c r="E20" s="207">
        <f>SUM(E18:E19)</f>
        <v>0</v>
      </c>
      <c r="F20" s="208"/>
      <c r="G20" s="208"/>
      <c r="H20" s="207">
        <f>SUM(H18:H19)</f>
        <v>0</v>
      </c>
      <c r="I20" s="207">
        <f>SUM(I18:I19)</f>
        <v>0</v>
      </c>
      <c r="J20" s="207">
        <f>SUM(J18:J19)</f>
        <v>0</v>
      </c>
      <c r="K20" s="207">
        <f>SUM(K18:K19)</f>
        <v>0</v>
      </c>
    </row>
    <row r="21" spans="1:24" s="188" customFormat="1">
      <c r="A21" s="211" t="s">
        <v>84</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78</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64</v>
      </c>
      <c r="D25" s="220"/>
      <c r="E25" s="98" t="s">
        <v>13</v>
      </c>
      <c r="F25" s="220"/>
      <c r="G25" s="220"/>
      <c r="H25" s="220"/>
      <c r="I25" s="221"/>
      <c r="J25" s="222"/>
      <c r="K25" s="218"/>
    </row>
    <row r="26" spans="1:24" s="219" customFormat="1">
      <c r="A26" s="223"/>
      <c r="B26" s="101"/>
      <c r="C26" s="101" t="s">
        <v>58</v>
      </c>
      <c r="D26" s="101" t="s">
        <v>65</v>
      </c>
      <c r="E26" s="101" t="s">
        <v>31</v>
      </c>
      <c r="F26" s="101" t="s">
        <v>66</v>
      </c>
      <c r="G26" s="101" t="s">
        <v>67</v>
      </c>
      <c r="H26" s="101" t="s">
        <v>67</v>
      </c>
      <c r="I26" s="218"/>
      <c r="J26" s="218"/>
      <c r="K26" s="218"/>
    </row>
    <row r="27" spans="1:24" s="219" customFormat="1">
      <c r="A27" s="223"/>
      <c r="B27" s="101" t="s">
        <v>68</v>
      </c>
      <c r="C27" s="101" t="s">
        <v>69</v>
      </c>
      <c r="D27" s="101" t="s">
        <v>59</v>
      </c>
      <c r="E27" s="101" t="s">
        <v>70</v>
      </c>
      <c r="F27" s="101" t="s">
        <v>110</v>
      </c>
      <c r="G27" s="101" t="s">
        <v>71</v>
      </c>
      <c r="H27" s="101" t="s">
        <v>71</v>
      </c>
      <c r="I27" s="218"/>
      <c r="J27" s="218"/>
      <c r="K27" s="218"/>
    </row>
    <row r="28" spans="1:24" s="219" customFormat="1">
      <c r="A28" s="224" t="s">
        <v>72</v>
      </c>
      <c r="B28" s="110" t="s">
        <v>56</v>
      </c>
      <c r="C28" s="225" t="s">
        <v>73</v>
      </c>
      <c r="D28" s="110" t="s">
        <v>43</v>
      </c>
      <c r="E28" s="225" t="s">
        <v>131</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84</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229</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5" workbookViewId="0">
      <selection activeCell="E34" sqref="E34"/>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S Centropolis Fire</v>
      </c>
      <c r="C1" s="234"/>
      <c r="D1" s="18"/>
      <c r="E1" s="185"/>
    </row>
    <row r="2" spans="2:6">
      <c r="B2" s="18" t="str">
        <f>inputPrYr!D4</f>
        <v>Franklin County</v>
      </c>
      <c r="C2" s="234"/>
      <c r="D2" s="18"/>
      <c r="E2" s="138"/>
    </row>
    <row r="3" spans="2:6">
      <c r="B3" s="543" t="s">
        <v>79</v>
      </c>
      <c r="C3" s="234"/>
      <c r="D3" s="18"/>
      <c r="E3" s="235"/>
      <c r="F3" s="185">
        <f>inputPrYr!$D$6</f>
        <v>2014</v>
      </c>
    </row>
    <row r="4" spans="2:6">
      <c r="B4" s="18"/>
      <c r="C4" s="96"/>
      <c r="D4" s="96"/>
      <c r="E4" s="96"/>
    </row>
    <row r="5" spans="2:6">
      <c r="B5" s="17" t="s">
        <v>32</v>
      </c>
      <c r="C5" s="391" t="s">
        <v>247</v>
      </c>
      <c r="D5" s="392" t="s">
        <v>246</v>
      </c>
      <c r="E5" s="236" t="s">
        <v>243</v>
      </c>
    </row>
    <row r="6" spans="2:6">
      <c r="B6" s="416" t="str">
        <f>inputPrYr!B19</f>
        <v>General</v>
      </c>
      <c r="C6" s="393" t="str">
        <f>CONCATENATE("Actual ",F3-2,"")</f>
        <v>Actual 2012</v>
      </c>
      <c r="D6" s="393" t="str">
        <f>CONCATENATE("Estimate ",F3-1,"")</f>
        <v>Estimate 2013</v>
      </c>
      <c r="E6" s="237" t="str">
        <f>CONCATENATE("Year ",F3,"")</f>
        <v>Year 2014</v>
      </c>
    </row>
    <row r="7" spans="2:6">
      <c r="B7" s="115" t="s">
        <v>123</v>
      </c>
      <c r="C7" s="387">
        <v>13208</v>
      </c>
      <c r="D7" s="394">
        <f>C51</f>
        <v>14621</v>
      </c>
      <c r="E7" s="47">
        <f>D51</f>
        <v>10878</v>
      </c>
    </row>
    <row r="8" spans="2:6">
      <c r="B8" s="239" t="s">
        <v>125</v>
      </c>
      <c r="C8" s="240"/>
      <c r="D8" s="240"/>
      <c r="E8" s="121"/>
    </row>
    <row r="9" spans="2:6">
      <c r="B9" s="115" t="s">
        <v>33</v>
      </c>
      <c r="C9" s="387">
        <v>6446</v>
      </c>
      <c r="D9" s="394">
        <f>inputPrYr!E19</f>
        <v>3325</v>
      </c>
      <c r="E9" s="128" t="s">
        <v>28</v>
      </c>
    </row>
    <row r="10" spans="2:6">
      <c r="B10" s="115" t="s">
        <v>34</v>
      </c>
      <c r="C10" s="387"/>
      <c r="D10" s="387"/>
      <c r="E10" s="202"/>
    </row>
    <row r="11" spans="2:6">
      <c r="B11" s="115" t="s">
        <v>35</v>
      </c>
      <c r="C11" s="387">
        <v>1468</v>
      </c>
      <c r="D11" s="387">
        <v>1026</v>
      </c>
      <c r="E11" s="47">
        <f>mvalloc!D11</f>
        <v>567</v>
      </c>
    </row>
    <row r="12" spans="2:6">
      <c r="B12" s="115" t="s">
        <v>36</v>
      </c>
      <c r="C12" s="387">
        <v>39</v>
      </c>
      <c r="D12" s="387">
        <v>24</v>
      </c>
      <c r="E12" s="47">
        <f>mvalloc!E11</f>
        <v>15</v>
      </c>
    </row>
    <row r="13" spans="2:6">
      <c r="B13" s="240" t="s">
        <v>107</v>
      </c>
      <c r="C13" s="387">
        <v>68</v>
      </c>
      <c r="D13" s="387">
        <v>64</v>
      </c>
      <c r="E13" s="47">
        <f>mvalloc!F11</f>
        <v>57</v>
      </c>
    </row>
    <row r="14" spans="2:6">
      <c r="B14" s="240" t="s">
        <v>153</v>
      </c>
      <c r="C14" s="387"/>
      <c r="D14" s="387"/>
      <c r="E14" s="47">
        <f>inputOth!E30</f>
        <v>0</v>
      </c>
    </row>
    <row r="15" spans="2:6">
      <c r="B15" s="240" t="s">
        <v>154</v>
      </c>
      <c r="C15" s="387"/>
      <c r="D15" s="387"/>
      <c r="E15" s="47">
        <f>mvalloc!G11</f>
        <v>0</v>
      </c>
    </row>
    <row r="16" spans="2:6">
      <c r="B16" s="241" t="s">
        <v>37</v>
      </c>
      <c r="C16" s="387"/>
      <c r="D16" s="387"/>
      <c r="E16" s="202"/>
    </row>
    <row r="17" spans="2:5">
      <c r="B17" s="241"/>
      <c r="C17" s="387"/>
      <c r="D17" s="387"/>
      <c r="E17" s="202"/>
    </row>
    <row r="18" spans="2:5">
      <c r="B18" s="241"/>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v>16</v>
      </c>
      <c r="D25" s="387">
        <v>18</v>
      </c>
      <c r="E25" s="202">
        <v>18</v>
      </c>
    </row>
    <row r="26" spans="2:5">
      <c r="B26" s="243" t="s">
        <v>216</v>
      </c>
      <c r="C26" s="241"/>
      <c r="D26" s="241"/>
      <c r="E26" s="202"/>
    </row>
    <row r="27" spans="2:5">
      <c r="B27" s="243" t="s">
        <v>570</v>
      </c>
      <c r="C27" s="388" t="str">
        <f>IF(C28*0.1&lt;C26,"Exceed 10% Rule","")</f>
        <v/>
      </c>
      <c r="D27" s="388" t="str">
        <f>IF(D28*0.1&lt;D26,"Exceed 10% Rule","")</f>
        <v/>
      </c>
      <c r="E27" s="414" t="str">
        <f>IF(E28*0.1+E57&lt;E26,"Exceed 10% Rule","")</f>
        <v/>
      </c>
    </row>
    <row r="28" spans="2:5">
      <c r="B28" s="246" t="s">
        <v>39</v>
      </c>
      <c r="C28" s="389">
        <f>SUM(C9:C26)</f>
        <v>8037</v>
      </c>
      <c r="D28" s="389">
        <f>SUM(D9:D26)</f>
        <v>4457</v>
      </c>
      <c r="E28" s="247">
        <f>SUM(E9:E26)</f>
        <v>657</v>
      </c>
    </row>
    <row r="29" spans="2:5">
      <c r="B29" s="246" t="s">
        <v>40</v>
      </c>
      <c r="C29" s="389">
        <f>C7+C28</f>
        <v>21245</v>
      </c>
      <c r="D29" s="389">
        <f>D7+D28</f>
        <v>19078</v>
      </c>
      <c r="E29" s="247">
        <f>E7+E28</f>
        <v>11535</v>
      </c>
    </row>
    <row r="30" spans="2:5">
      <c r="B30" s="115" t="s">
        <v>41</v>
      </c>
      <c r="C30" s="119"/>
      <c r="D30" s="119"/>
      <c r="E30" s="38"/>
    </row>
    <row r="31" spans="2:5">
      <c r="B31" s="241" t="s">
        <v>737</v>
      </c>
      <c r="C31" s="387">
        <v>126</v>
      </c>
      <c r="D31" s="387">
        <v>200</v>
      </c>
      <c r="E31" s="202">
        <v>200</v>
      </c>
    </row>
    <row r="32" spans="2:5">
      <c r="B32" s="241" t="s">
        <v>738</v>
      </c>
      <c r="C32" s="387">
        <v>6498</v>
      </c>
      <c r="D32" s="387">
        <v>8000</v>
      </c>
      <c r="E32" s="202">
        <v>8000</v>
      </c>
    </row>
    <row r="33" spans="2:10">
      <c r="B33" s="241" t="s">
        <v>739</v>
      </c>
      <c r="C33" s="387"/>
      <c r="D33" s="387"/>
      <c r="E33" s="202">
        <v>6569</v>
      </c>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10878</v>
      </c>
      <c r="H45" s="541" t="str">
        <f>CONCATENATE("",F3-1," Ending Cash Balance (est.)")</f>
        <v>2013 Ending Cash Balance (est.)</v>
      </c>
      <c r="I45" s="533"/>
      <c r="J45" s="534"/>
    </row>
    <row r="46" spans="2:10">
      <c r="B46" s="241"/>
      <c r="C46" s="387"/>
      <c r="D46" s="387"/>
      <c r="E46" s="202"/>
      <c r="G46" s="542">
        <f>E28</f>
        <v>657</v>
      </c>
      <c r="H46" s="533" t="str">
        <f>CONCATENATE("",F3," Non-AV Receipts (est.)")</f>
        <v>2014 Non-AV Receipts (est.)</v>
      </c>
      <c r="I46" s="533"/>
      <c r="J46" s="534"/>
    </row>
    <row r="47" spans="2:10">
      <c r="B47" s="119" t="s">
        <v>217</v>
      </c>
      <c r="C47" s="387"/>
      <c r="D47" s="387"/>
      <c r="E47" s="207" t="str">
        <f>Nhood!E7</f>
        <v/>
      </c>
      <c r="G47" s="532">
        <f>E57</f>
        <v>3234</v>
      </c>
      <c r="H47" s="533" t="str">
        <f>CONCATENATE("",F3," Ad Valorem Tax (est.)")</f>
        <v>2014 Ad Valorem Tax (est.)</v>
      </c>
      <c r="I47" s="533"/>
      <c r="J47" s="534"/>
    </row>
    <row r="48" spans="2:10">
      <c r="B48" s="119" t="s">
        <v>216</v>
      </c>
      <c r="C48" s="387"/>
      <c r="D48" s="387"/>
      <c r="E48" s="37"/>
      <c r="G48" s="542">
        <f>SUM(G45:G47)</f>
        <v>14769</v>
      </c>
      <c r="H48" s="533" t="str">
        <f>CONCATENATE("Total ",E4," Resources Available")</f>
        <v>Total  Resources Available</v>
      </c>
      <c r="I48" s="533"/>
      <c r="J48" s="534"/>
    </row>
    <row r="49" spans="2:10">
      <c r="B49" s="119" t="s">
        <v>569</v>
      </c>
      <c r="C49" s="388" t="str">
        <f>IF(C50*0.1&lt;C48,"Exceed 10% Rule","")</f>
        <v/>
      </c>
      <c r="D49" s="388" t="str">
        <f>IF(D50*0.1&lt;D48,"Exceed 10% Rule","")</f>
        <v/>
      </c>
      <c r="E49" s="414" t="str">
        <f>IF(E50*0.1&lt;E48,"Exceed 10% Rule","")</f>
        <v/>
      </c>
      <c r="G49" s="531"/>
      <c r="H49" s="533"/>
      <c r="I49" s="533"/>
      <c r="J49" s="534"/>
    </row>
    <row r="50" spans="2:10">
      <c r="B50" s="246" t="s">
        <v>42</v>
      </c>
      <c r="C50" s="389">
        <f>SUM(C31:C48)</f>
        <v>6624</v>
      </c>
      <c r="D50" s="389">
        <f>SUM(D31:D48)</f>
        <v>8200</v>
      </c>
      <c r="E50" s="247">
        <f>SUM(E31:E48)</f>
        <v>14769</v>
      </c>
      <c r="G50" s="532">
        <f>C50*0.05+C50</f>
        <v>6955.2</v>
      </c>
      <c r="H50" s="533" t="str">
        <f>CONCATENATE("Less ",F3-2," Expenditures + 5%")</f>
        <v>Less 2012 Expenditures + 5%</v>
      </c>
      <c r="I50" s="533"/>
      <c r="J50" s="534"/>
    </row>
    <row r="51" spans="2:10">
      <c r="B51" s="115" t="s">
        <v>124</v>
      </c>
      <c r="C51" s="390">
        <f>C29-C50</f>
        <v>14621</v>
      </c>
      <c r="D51" s="390">
        <f>D29-D50</f>
        <v>10878</v>
      </c>
      <c r="E51" s="128" t="s">
        <v>28</v>
      </c>
      <c r="G51" s="530">
        <f>G48-G50</f>
        <v>7813.8</v>
      </c>
      <c r="H51" s="529" t="str">
        <f>CONCATENATE("Projected ",F3+1," Carryover (est.)")</f>
        <v>Projected 2015 Carryover (est.)</v>
      </c>
      <c r="I51" s="515"/>
      <c r="J51" s="528"/>
    </row>
    <row r="52" spans="2:10">
      <c r="B52" s="138" t="str">
        <f>CONCATENATE("",F3-2,"/",F3-1," Budget Authority Amount:")</f>
        <v>2012/2013 Budget Authority Amount:</v>
      </c>
      <c r="C52" s="116">
        <f>inputOth!B42</f>
        <v>21180</v>
      </c>
      <c r="D52" s="415">
        <f>inputPrYr!D19</f>
        <v>11664</v>
      </c>
      <c r="E52" s="128" t="s">
        <v>28</v>
      </c>
      <c r="F52" s="248"/>
      <c r="G52" s="16"/>
      <c r="H52" s="16"/>
      <c r="I52" s="16"/>
      <c r="J52" s="16"/>
    </row>
    <row r="53" spans="2:10">
      <c r="B53" s="138"/>
      <c r="C53" s="616" t="s">
        <v>672</v>
      </c>
      <c r="D53" s="617"/>
      <c r="E53" s="37"/>
      <c r="F53" s="248" t="str">
        <f>IF(E50/0.95-E50&lt;E53,"Exceeds 5%","")</f>
        <v/>
      </c>
      <c r="G53" s="527">
        <f>IF(inputOth!E7=0,"",ROUND(gen!E57/inputOth!E7*1000,3))</f>
        <v>0.97399999999999998</v>
      </c>
      <c r="H53" s="526" t="str">
        <f>CONCATENATE("Projected ",F3-1," Mill Rate (est.)")</f>
        <v>Projected 2013 Mill Rate (est.)</v>
      </c>
      <c r="I53" s="525"/>
      <c r="J53" s="524"/>
    </row>
    <row r="54" spans="2:10">
      <c r="B54" s="413" t="str">
        <f>CONCATENATE(C70,"     ",D70)</f>
        <v xml:space="preserve">     </v>
      </c>
      <c r="C54" s="618" t="s">
        <v>673</v>
      </c>
      <c r="D54" s="619"/>
      <c r="E54" s="47">
        <f>E50+E53</f>
        <v>14769</v>
      </c>
      <c r="G54" s="523"/>
      <c r="H54" s="523"/>
      <c r="I54" s="523"/>
      <c r="J54" s="523"/>
    </row>
    <row r="55" spans="2:10">
      <c r="B55" s="413" t="str">
        <f>CONCATENATE(C71,"     ",D71)</f>
        <v xml:space="preserve">     </v>
      </c>
      <c r="C55" s="547"/>
      <c r="D55" s="546" t="s">
        <v>674</v>
      </c>
      <c r="E55" s="44">
        <f>IF(E54-E29&gt;0,E54-E29,0)</f>
        <v>3234</v>
      </c>
      <c r="G55" s="620" t="str">
        <f>CONCATENATE("Desired Carryover Into ",F3+1,"")</f>
        <v>Desired Carryover Into 2015</v>
      </c>
      <c r="H55" s="623"/>
      <c r="I55" s="623"/>
      <c r="J55" s="622"/>
    </row>
    <row r="56" spans="2:10">
      <c r="B56" s="158"/>
      <c r="C56" s="544" t="s">
        <v>675</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3234</v>
      </c>
      <c r="G57" s="520" t="s">
        <v>676</v>
      </c>
      <c r="H57" s="533"/>
      <c r="I57" s="533"/>
      <c r="J57" s="519"/>
    </row>
    <row r="58" spans="2:10">
      <c r="B58" s="18"/>
      <c r="C58" s="18"/>
      <c r="D58" s="18"/>
      <c r="E58" s="18"/>
      <c r="G58" s="522" t="s">
        <v>677</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225</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S Centropolis Fire</v>
      </c>
      <c r="C1" s="18"/>
      <c r="D1" s="18"/>
      <c r="E1" s="250">
        <f>inputPrYr!$D$6</f>
        <v>2014</v>
      </c>
    </row>
    <row r="2" spans="2:5">
      <c r="B2" s="18"/>
      <c r="C2" s="18"/>
      <c r="D2" s="18"/>
      <c r="E2" s="158"/>
    </row>
    <row r="3" spans="2:5">
      <c r="B3" s="543" t="s">
        <v>79</v>
      </c>
      <c r="C3" s="234"/>
      <c r="D3" s="234"/>
      <c r="E3" s="251"/>
    </row>
    <row r="4" spans="2:5">
      <c r="B4" s="18"/>
      <c r="C4" s="252"/>
      <c r="D4" s="252"/>
      <c r="E4" s="252"/>
    </row>
    <row r="5" spans="2:5">
      <c r="B5" s="45" t="s">
        <v>32</v>
      </c>
      <c r="C5" s="391" t="s">
        <v>151</v>
      </c>
      <c r="D5" s="392" t="s">
        <v>246</v>
      </c>
      <c r="E5" s="236" t="s">
        <v>243</v>
      </c>
    </row>
    <row r="6" spans="2:5">
      <c r="B6" s="417" t="s">
        <v>270</v>
      </c>
      <c r="C6" s="399">
        <f>E1-2</f>
        <v>2012</v>
      </c>
      <c r="D6" s="399" t="str">
        <f>CONCATENATE("Estimate ",E1-1,"")</f>
        <v>Estimate 2013</v>
      </c>
      <c r="E6" s="173" t="str">
        <f>CONCATENATE("Year ",E1,"")</f>
        <v>Year 2014</v>
      </c>
    </row>
    <row r="7" spans="2:5">
      <c r="B7" s="109" t="s">
        <v>123</v>
      </c>
      <c r="C7" s="396"/>
      <c r="D7" s="400">
        <f>C55</f>
        <v>0</v>
      </c>
      <c r="E7" s="254">
        <f>D55</f>
        <v>0</v>
      </c>
    </row>
    <row r="8" spans="2:5">
      <c r="B8" s="255" t="s">
        <v>125</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107</v>
      </c>
      <c r="C13" s="387"/>
      <c r="D13" s="387"/>
      <c r="E13" s="258">
        <f>mvalloc!F12</f>
        <v>0</v>
      </c>
    </row>
    <row r="14" spans="2:5">
      <c r="B14" s="259" t="s">
        <v>154</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152</v>
      </c>
      <c r="C26" s="387"/>
      <c r="D26" s="387"/>
      <c r="E26" s="257"/>
    </row>
    <row r="27" spans="2:5">
      <c r="B27" s="262" t="s">
        <v>38</v>
      </c>
      <c r="C27" s="387"/>
      <c r="D27" s="387"/>
      <c r="E27" s="257"/>
    </row>
    <row r="28" spans="2:5">
      <c r="B28" s="243" t="s">
        <v>216</v>
      </c>
      <c r="C28" s="396"/>
      <c r="D28" s="396"/>
      <c r="E28" s="257"/>
    </row>
    <row r="29" spans="2:5">
      <c r="B29" s="243" t="s">
        <v>570</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217</v>
      </c>
      <c r="C51" s="396"/>
      <c r="D51" s="396"/>
      <c r="E51" s="179" t="str">
        <f>Nhood!E8</f>
        <v/>
      </c>
    </row>
    <row r="52" spans="2:9">
      <c r="B52" s="119" t="s">
        <v>216</v>
      </c>
      <c r="C52" s="396"/>
      <c r="D52" s="396"/>
      <c r="E52" s="257"/>
      <c r="G52" s="624" t="str">
        <f>CONCATENATE("Projected Carryover Into ",E1+1,"")</f>
        <v>Projected Carryover Into 2015</v>
      </c>
      <c r="H52" s="625"/>
      <c r="I52" s="626"/>
    </row>
    <row r="53" spans="2:9">
      <c r="B53" s="119" t="s">
        <v>569</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124</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672</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673</v>
      </c>
      <c r="D58" s="619"/>
      <c r="E58" s="47">
        <f>E54+E57</f>
        <v>0</v>
      </c>
      <c r="G58" s="531"/>
      <c r="H58" s="553"/>
      <c r="I58" s="534"/>
    </row>
    <row r="59" spans="2:9">
      <c r="B59" s="413" t="str">
        <f>CONCATENATE(C70,"     ",D70)</f>
        <v xml:space="preserve">     </v>
      </c>
      <c r="C59" s="549"/>
      <c r="D59" s="546" t="s">
        <v>674</v>
      </c>
      <c r="E59" s="44">
        <f>IF(E58-E31&gt;0,E58-E31,0)</f>
        <v>0</v>
      </c>
      <c r="G59" s="532">
        <f>C54</f>
        <v>0</v>
      </c>
      <c r="H59" s="553" t="str">
        <f>CONCATENATE("Less ",E1-2," Expenditures")</f>
        <v>Less 2012 Expenditures</v>
      </c>
      <c r="I59" s="534"/>
    </row>
    <row r="60" spans="2:9">
      <c r="B60" s="158"/>
      <c r="C60" s="544" t="s">
        <v>675</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S Centropolis Fire</v>
      </c>
      <c r="C1" s="18"/>
      <c r="D1" s="18"/>
      <c r="E1" s="185"/>
    </row>
    <row r="2" spans="2:6">
      <c r="B2" s="18" t="str">
        <f>inputPrYr!D4</f>
        <v>Franklin County</v>
      </c>
      <c r="C2" s="18"/>
      <c r="D2" s="18"/>
      <c r="E2" s="138"/>
    </row>
    <row r="3" spans="2:6">
      <c r="B3" s="27" t="s">
        <v>79</v>
      </c>
      <c r="C3" s="234"/>
      <c r="D3" s="234"/>
      <c r="E3" s="235"/>
      <c r="F3" s="92">
        <f>inputPrYr!D6</f>
        <v>2014</v>
      </c>
    </row>
    <row r="4" spans="2:6">
      <c r="B4" s="18"/>
      <c r="C4" s="102"/>
      <c r="D4" s="102"/>
      <c r="E4" s="102"/>
    </row>
    <row r="5" spans="2:6">
      <c r="B5" s="17" t="s">
        <v>32</v>
      </c>
      <c r="C5" s="391" t="s">
        <v>245</v>
      </c>
      <c r="D5" s="392" t="s">
        <v>244</v>
      </c>
      <c r="E5" s="236" t="s">
        <v>243</v>
      </c>
    </row>
    <row r="6" spans="2:6">
      <c r="B6" s="416">
        <f>inputPrYr!B22</f>
        <v>0</v>
      </c>
      <c r="C6" s="393" t="str">
        <f>CONCATENATE("Actual ",$F$3-2,"")</f>
        <v>Actual 2012</v>
      </c>
      <c r="D6" s="393" t="str">
        <f>CONCATENATE("Estimate ",F3-1,"")</f>
        <v>Estimate 2013</v>
      </c>
      <c r="E6" s="237" t="str">
        <f>CONCATENATE("Year ",F3,"")</f>
        <v>Year 2014</v>
      </c>
    </row>
    <row r="7" spans="2:6">
      <c r="B7" s="115" t="s">
        <v>123</v>
      </c>
      <c r="C7" s="387"/>
      <c r="D7" s="394">
        <f>C34</f>
        <v>0</v>
      </c>
      <c r="E7" s="47">
        <f>D34</f>
        <v>0</v>
      </c>
    </row>
    <row r="8" spans="2:6">
      <c r="B8" s="239" t="s">
        <v>125</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107</v>
      </c>
      <c r="C13" s="387"/>
      <c r="D13" s="387"/>
      <c r="E13" s="47">
        <f>mvalloc!F13</f>
        <v>0</v>
      </c>
    </row>
    <row r="14" spans="2:6">
      <c r="B14" s="240" t="s">
        <v>154</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216</v>
      </c>
      <c r="C19" s="387"/>
      <c r="D19" s="387"/>
      <c r="E19" s="37"/>
    </row>
    <row r="20" spans="2:5">
      <c r="B20" s="243" t="s">
        <v>570</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217</v>
      </c>
      <c r="C30" s="387"/>
      <c r="D30" s="387"/>
      <c r="E30" s="207" t="str">
        <f>Nhood!E9</f>
        <v/>
      </c>
    </row>
    <row r="31" spans="2:5">
      <c r="B31" s="119" t="s">
        <v>216</v>
      </c>
      <c r="C31" s="241"/>
      <c r="D31" s="241"/>
      <c r="E31" s="202"/>
    </row>
    <row r="32" spans="2:5">
      <c r="B32" s="119" t="s">
        <v>569</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124</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672</v>
      </c>
      <c r="D36" s="617"/>
      <c r="E36" s="37"/>
      <c r="F36" s="248" t="str">
        <f>IF(E33/0.95-E33&lt;E36,"Exceeds 5%","")</f>
        <v/>
      </c>
    </row>
    <row r="37" spans="2:6">
      <c r="B37" s="413" t="str">
        <f>CONCATENATE(C87,"     ",D87)</f>
        <v xml:space="preserve">     </v>
      </c>
      <c r="C37" s="618" t="s">
        <v>673</v>
      </c>
      <c r="D37" s="619"/>
      <c r="E37" s="47">
        <f>E33+E36</f>
        <v>0</v>
      </c>
    </row>
    <row r="38" spans="2:6">
      <c r="B38" s="413" t="str">
        <f>CONCATENATE(C88,"     ",D88)</f>
        <v xml:space="preserve">     </v>
      </c>
      <c r="C38" s="551"/>
      <c r="D38" s="546" t="s">
        <v>674</v>
      </c>
      <c r="E38" s="44">
        <f>IF(E37-E22&gt;0,E37-E22,0)</f>
        <v>0</v>
      </c>
    </row>
    <row r="39" spans="2:6">
      <c r="B39" s="158"/>
      <c r="C39" s="544" t="s">
        <v>675</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245</v>
      </c>
      <c r="D43" s="392" t="s">
        <v>246</v>
      </c>
      <c r="E43" s="236" t="s">
        <v>243</v>
      </c>
    </row>
    <row r="44" spans="2:6" ht="15.75" customHeight="1">
      <c r="B44" s="416">
        <f>inputPrYr!B23</f>
        <v>0</v>
      </c>
      <c r="C44" s="393" t="str">
        <f>C6</f>
        <v>Actual 2012</v>
      </c>
      <c r="D44" s="393" t="str">
        <f>D6</f>
        <v>Estimate 2013</v>
      </c>
      <c r="E44" s="237" t="str">
        <f>E6</f>
        <v>Year 2014</v>
      </c>
    </row>
    <row r="45" spans="2:6">
      <c r="B45" s="115" t="s">
        <v>123</v>
      </c>
      <c r="C45" s="387"/>
      <c r="D45" s="394">
        <f>C72</f>
        <v>0</v>
      </c>
      <c r="E45" s="47">
        <f>D72</f>
        <v>0</v>
      </c>
    </row>
    <row r="46" spans="2:6">
      <c r="B46" s="239" t="s">
        <v>125</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107</v>
      </c>
      <c r="C51" s="387"/>
      <c r="D51" s="387"/>
      <c r="E51" s="47">
        <f>mvalloc!F14</f>
        <v>0</v>
      </c>
    </row>
    <row r="52" spans="2:5">
      <c r="B52" s="240" t="s">
        <v>154</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216</v>
      </c>
      <c r="C57" s="241"/>
      <c r="D57" s="241"/>
      <c r="E57" s="202"/>
    </row>
    <row r="58" spans="2:5">
      <c r="B58" s="243" t="s">
        <v>570</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217</v>
      </c>
      <c r="C68" s="387"/>
      <c r="D68" s="387"/>
      <c r="E68" s="207" t="str">
        <f>Nhood!E10</f>
        <v/>
      </c>
    </row>
    <row r="69" spans="2:6">
      <c r="B69" s="119" t="s">
        <v>216</v>
      </c>
      <c r="C69" s="241"/>
      <c r="D69" s="241"/>
      <c r="E69" s="202"/>
    </row>
    <row r="70" spans="2:6">
      <c r="B70" s="119" t="s">
        <v>569</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124</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672</v>
      </c>
      <c r="D74" s="617"/>
      <c r="E74" s="37"/>
      <c r="F74" s="248" t="str">
        <f>IF(E71/0.95-E71&lt;E74,"Exceeds 5%","")</f>
        <v/>
      </c>
    </row>
    <row r="75" spans="2:6">
      <c r="B75" s="413" t="str">
        <f>CONCATENATE(C89,"     ",D89)</f>
        <v xml:space="preserve">     </v>
      </c>
      <c r="C75" s="618" t="s">
        <v>673</v>
      </c>
      <c r="D75" s="619"/>
      <c r="E75" s="47">
        <f>E71+E74</f>
        <v>0</v>
      </c>
    </row>
    <row r="76" spans="2:6">
      <c r="B76" s="413" t="str">
        <f>CONCATENATE(C90,"     ",D90)</f>
        <v xml:space="preserve">     </v>
      </c>
      <c r="C76" s="550"/>
      <c r="D76" s="546" t="s">
        <v>674</v>
      </c>
      <c r="E76" s="44">
        <f>IF(E75-E60&gt;0,E75-E60,0)</f>
        <v>0</v>
      </c>
    </row>
    <row r="77" spans="2:6">
      <c r="B77" s="158"/>
      <c r="C77" s="544" t="s">
        <v>675</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S Centropolis Fire</v>
      </c>
      <c r="C1" s="234"/>
      <c r="D1" s="18"/>
      <c r="E1" s="185"/>
    </row>
    <row r="2" spans="2:6">
      <c r="B2" s="18" t="str">
        <f>inputPrYr!D4</f>
        <v>Franklin County</v>
      </c>
      <c r="C2" s="234"/>
      <c r="D2" s="18"/>
      <c r="E2" s="138"/>
    </row>
    <row r="3" spans="2:6">
      <c r="B3" s="27" t="s">
        <v>80</v>
      </c>
      <c r="C3" s="234"/>
      <c r="D3" s="234"/>
      <c r="E3" s="235"/>
      <c r="F3" s="92">
        <f>inputPrYr!$D$6</f>
        <v>2014</v>
      </c>
    </row>
    <row r="4" spans="2:6">
      <c r="B4" s="18"/>
      <c r="C4" s="102"/>
      <c r="D4" s="102"/>
      <c r="E4" s="102"/>
    </row>
    <row r="5" spans="2:6">
      <c r="B5" s="17" t="s">
        <v>32</v>
      </c>
      <c r="C5" s="269" t="s">
        <v>245</v>
      </c>
      <c r="D5" s="236" t="s">
        <v>246</v>
      </c>
      <c r="E5" s="236" t="s">
        <v>243</v>
      </c>
    </row>
    <row r="6" spans="2:6">
      <c r="B6" s="416">
        <f>inputPrYr!B26</f>
        <v>0</v>
      </c>
      <c r="C6" s="237" t="str">
        <f>CONCATENATE("Actual ",F3-2,"")</f>
        <v>Actual 2012</v>
      </c>
      <c r="D6" s="237" t="str">
        <f>CONCATENATE("Estimate ",F3-1,"")</f>
        <v>Estimate 2013</v>
      </c>
      <c r="E6" s="237" t="str">
        <f>CONCATENATE("Year ",F3,"")</f>
        <v>Year 2014</v>
      </c>
    </row>
    <row r="7" spans="2:6">
      <c r="B7" s="115" t="s">
        <v>123</v>
      </c>
      <c r="C7" s="37"/>
      <c r="D7" s="47">
        <f>C32</f>
        <v>0</v>
      </c>
      <c r="E7" s="47">
        <f>D32</f>
        <v>0</v>
      </c>
    </row>
    <row r="8" spans="2:6">
      <c r="B8" s="239" t="s">
        <v>125</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216</v>
      </c>
      <c r="C17" s="202"/>
      <c r="D17" s="244"/>
      <c r="E17" s="244"/>
    </row>
    <row r="18" spans="2:5">
      <c r="B18" s="243" t="s">
        <v>570</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216</v>
      </c>
      <c r="C29" s="37"/>
      <c r="D29" s="238"/>
      <c r="E29" s="238"/>
    </row>
    <row r="30" spans="2:5">
      <c r="B30" s="119" t="s">
        <v>569</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124</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245</v>
      </c>
      <c r="D38" s="236" t="s">
        <v>246</v>
      </c>
      <c r="E38" s="236" t="s">
        <v>243</v>
      </c>
    </row>
    <row r="39" spans="2:5" ht="15.75" customHeight="1">
      <c r="B39" s="416">
        <f>inputPrYr!B27</f>
        <v>0</v>
      </c>
      <c r="C39" s="237" t="str">
        <f>C6</f>
        <v>Actual 2012</v>
      </c>
      <c r="D39" s="237" t="str">
        <f>D6</f>
        <v>Estimate 2013</v>
      </c>
      <c r="E39" s="237" t="str">
        <f>E6</f>
        <v>Year 2014</v>
      </c>
    </row>
    <row r="40" spans="2:5">
      <c r="B40" s="115" t="s">
        <v>123</v>
      </c>
      <c r="C40" s="37"/>
      <c r="D40" s="47">
        <f>C65</f>
        <v>0</v>
      </c>
      <c r="E40" s="47">
        <f>D65</f>
        <v>0</v>
      </c>
    </row>
    <row r="41" spans="2:5">
      <c r="B41" s="239" t="s">
        <v>125</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216</v>
      </c>
      <c r="C50" s="202"/>
      <c r="D50" s="244"/>
      <c r="E50" s="244"/>
    </row>
    <row r="51" spans="2:5">
      <c r="B51" s="243" t="s">
        <v>570</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216</v>
      </c>
      <c r="C62" s="37"/>
      <c r="D62" s="238"/>
      <c r="E62" s="238"/>
    </row>
    <row r="63" spans="2:5">
      <c r="B63" s="119" t="s">
        <v>569</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124</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S Centropolis Fire</v>
      </c>
      <c r="B1" s="270"/>
      <c r="C1" s="56"/>
      <c r="D1" s="56"/>
      <c r="E1" s="56"/>
      <c r="F1" s="271" t="s">
        <v>230</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231</v>
      </c>
      <c r="B3" s="56"/>
      <c r="C3" s="56"/>
      <c r="D3" s="56"/>
      <c r="E3" s="56"/>
      <c r="F3" s="270"/>
      <c r="G3" s="56"/>
      <c r="H3" s="56"/>
      <c r="I3" s="56"/>
      <c r="J3" s="56"/>
      <c r="K3" s="56"/>
    </row>
    <row r="4" spans="1:11">
      <c r="A4" s="56" t="s">
        <v>232</v>
      </c>
      <c r="B4" s="56"/>
      <c r="C4" s="56" t="s">
        <v>233</v>
      </c>
      <c r="D4" s="56"/>
      <c r="E4" s="56" t="s">
        <v>234</v>
      </c>
      <c r="F4" s="270"/>
      <c r="G4" s="56" t="s">
        <v>235</v>
      </c>
      <c r="H4" s="56"/>
      <c r="I4" s="56" t="s">
        <v>236</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237</v>
      </c>
      <c r="B6" s="276"/>
      <c r="C6" s="277" t="s">
        <v>237</v>
      </c>
      <c r="D6" s="278"/>
      <c r="E6" s="277" t="s">
        <v>237</v>
      </c>
      <c r="F6" s="279"/>
      <c r="G6" s="277" t="s">
        <v>237</v>
      </c>
      <c r="H6" s="273"/>
      <c r="I6" s="277" t="s">
        <v>237</v>
      </c>
      <c r="J6" s="56"/>
      <c r="K6" s="280" t="s">
        <v>13</v>
      </c>
    </row>
    <row r="7" spans="1:11">
      <c r="A7" s="281" t="s">
        <v>238</v>
      </c>
      <c r="B7" s="282"/>
      <c r="C7" s="283" t="s">
        <v>238</v>
      </c>
      <c r="D7" s="282"/>
      <c r="E7" s="283" t="s">
        <v>238</v>
      </c>
      <c r="F7" s="282"/>
      <c r="G7" s="283" t="s">
        <v>238</v>
      </c>
      <c r="H7" s="282"/>
      <c r="I7" s="283" t="s">
        <v>238</v>
      </c>
      <c r="J7" s="282"/>
      <c r="K7" s="284">
        <f>SUM(B7+D7+F7+H7+J7)</f>
        <v>0</v>
      </c>
    </row>
    <row r="8" spans="1:11">
      <c r="A8" s="285" t="s">
        <v>125</v>
      </c>
      <c r="B8" s="286"/>
      <c r="C8" s="285" t="s">
        <v>125</v>
      </c>
      <c r="D8" s="287"/>
      <c r="E8" s="285" t="s">
        <v>125</v>
      </c>
      <c r="F8" s="270"/>
      <c r="G8" s="285" t="s">
        <v>125</v>
      </c>
      <c r="H8" s="56"/>
      <c r="I8" s="285" t="s">
        <v>125</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239</v>
      </c>
      <c r="B29" s="284">
        <f>SUM(B18-B28)</f>
        <v>0</v>
      </c>
      <c r="C29" s="285" t="s">
        <v>239</v>
      </c>
      <c r="D29" s="284">
        <f>SUM(D18-D28)</f>
        <v>0</v>
      </c>
      <c r="E29" s="285" t="s">
        <v>239</v>
      </c>
      <c r="F29" s="284">
        <f>SUM(F18-F28)</f>
        <v>0</v>
      </c>
      <c r="G29" s="285" t="s">
        <v>239</v>
      </c>
      <c r="H29" s="284">
        <f>SUM(H18-H28)</f>
        <v>0</v>
      </c>
      <c r="I29" s="285" t="s">
        <v>239</v>
      </c>
      <c r="J29" s="284">
        <f>SUM(J18-J28)</f>
        <v>0</v>
      </c>
      <c r="K29" s="299">
        <f>SUM(B29+D29+F29+H29+J29)</f>
        <v>0</v>
      </c>
      <c r="L29" s="92" t="s">
        <v>240</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240</v>
      </c>
    </row>
    <row r="31" spans="1:12">
      <c r="A31" s="56"/>
      <c r="B31" s="300"/>
      <c r="C31" s="56"/>
      <c r="D31" s="270"/>
      <c r="E31" s="56"/>
      <c r="F31" s="56"/>
      <c r="G31" s="301" t="s">
        <v>241</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286</v>
      </c>
    </row>
    <row r="2" spans="1:1" ht="15.75">
      <c r="A2" s="92"/>
    </row>
    <row r="3" spans="1:1" ht="15.75">
      <c r="A3" s="92"/>
    </row>
    <row r="4" spans="1:1" ht="56.25" customHeight="1">
      <c r="A4" s="333" t="s">
        <v>287</v>
      </c>
    </row>
    <row r="5" spans="1:1" ht="15.75">
      <c r="A5" s="334"/>
    </row>
    <row r="6" spans="1:1" ht="15.75">
      <c r="A6" s="92"/>
    </row>
    <row r="7" spans="1:1" ht="50.25" customHeight="1">
      <c r="A7" s="333" t="s">
        <v>288</v>
      </c>
    </row>
    <row r="8" spans="1:1" ht="15.75">
      <c r="A8" s="92"/>
    </row>
    <row r="9" spans="1:1" ht="15.75">
      <c r="A9" s="92"/>
    </row>
    <row r="10" spans="1:1" ht="52.5" customHeight="1">
      <c r="A10" s="333" t="s">
        <v>289</v>
      </c>
    </row>
    <row r="11" spans="1:1" ht="15.75">
      <c r="A11" s="92"/>
    </row>
    <row r="12" spans="1:1" ht="15.75">
      <c r="A12" s="92"/>
    </row>
    <row r="13" spans="1:1" ht="52.5" customHeight="1">
      <c r="A13" s="333" t="s">
        <v>290</v>
      </c>
    </row>
    <row r="14" spans="1:1" ht="15.75">
      <c r="A14" s="334"/>
    </row>
    <row r="15" spans="1:1" ht="15.75">
      <c r="A15" s="334"/>
    </row>
    <row r="16" spans="1:1" ht="51" customHeight="1">
      <c r="A16" s="512" t="s">
        <v>664</v>
      </c>
    </row>
    <row r="17" spans="1:1" ht="15.75">
      <c r="A17" s="334"/>
    </row>
    <row r="18" spans="1:1" ht="15.75">
      <c r="A18" s="334"/>
    </row>
    <row r="19" spans="1:1" ht="37.5" customHeight="1">
      <c r="A19" s="333" t="s">
        <v>291</v>
      </c>
    </row>
    <row r="20" spans="1:1" ht="15.75">
      <c r="A20" s="92"/>
    </row>
    <row r="21" spans="1:1" ht="15.75">
      <c r="A21" s="92"/>
    </row>
    <row r="22" spans="1:1" ht="47.25">
      <c r="A22" s="333" t="s">
        <v>292</v>
      </c>
    </row>
    <row r="23" spans="1:1" ht="15.75">
      <c r="A23" s="334"/>
    </row>
    <row r="24" spans="1:1" ht="15.75">
      <c r="A24" s="92"/>
    </row>
    <row r="25" spans="1:1" ht="67.5" customHeight="1">
      <c r="A25" s="333" t="s">
        <v>293</v>
      </c>
    </row>
    <row r="26" spans="1:1" ht="68.25" customHeight="1">
      <c r="A26" s="335" t="s">
        <v>294</v>
      </c>
    </row>
    <row r="27" spans="1:1" ht="15.75">
      <c r="A27" s="92"/>
    </row>
    <row r="28" spans="1:1" ht="15.75">
      <c r="A28" s="92"/>
    </row>
    <row r="29" spans="1:1" ht="51" customHeight="1">
      <c r="A29" s="513" t="s">
        <v>665</v>
      </c>
    </row>
    <row r="30" spans="1:1" ht="15.75">
      <c r="A30" s="92"/>
    </row>
    <row r="31" spans="1:1" ht="15.75">
      <c r="A31" s="334"/>
    </row>
    <row r="32" spans="1:1" ht="69" customHeight="1">
      <c r="A32" s="513" t="s">
        <v>666</v>
      </c>
    </row>
    <row r="33" spans="1:1" ht="15.75">
      <c r="A33" s="334"/>
    </row>
    <row r="34" spans="1:1" ht="15.75">
      <c r="A34" s="334"/>
    </row>
    <row r="35" spans="1:1" ht="52.5" customHeight="1">
      <c r="A35" s="513" t="s">
        <v>667</v>
      </c>
    </row>
    <row r="36" spans="1:1" ht="15.75">
      <c r="A36" s="334"/>
    </row>
    <row r="37" spans="1:1" ht="15.75">
      <c r="A37" s="334"/>
    </row>
    <row r="38" spans="1:1" ht="59.25" customHeight="1">
      <c r="A38" s="333" t="s">
        <v>295</v>
      </c>
    </row>
    <row r="39" spans="1:1" ht="15.75">
      <c r="A39" s="92"/>
    </row>
    <row r="40" spans="1:1" ht="15.75">
      <c r="A40" s="92"/>
    </row>
    <row r="41" spans="1:1" ht="53.25" customHeight="1">
      <c r="A41" s="333" t="s">
        <v>296</v>
      </c>
    </row>
    <row r="42" spans="1:1" ht="15.75">
      <c r="A42" s="334"/>
    </row>
    <row r="43" spans="1:1" ht="15.75">
      <c r="A43" s="334"/>
    </row>
    <row r="44" spans="1:1" ht="38.25" customHeight="1">
      <c r="A44" s="333" t="s">
        <v>297</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A25" sqref="A25"/>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81</v>
      </c>
      <c r="B1" s="579"/>
      <c r="C1" s="579"/>
      <c r="D1" s="579"/>
      <c r="E1" s="579"/>
      <c r="F1" s="579"/>
      <c r="G1" s="579"/>
      <c r="H1" s="636"/>
    </row>
    <row r="2" spans="1:13">
      <c r="A2" s="18"/>
      <c r="B2" s="18"/>
      <c r="C2" s="18"/>
      <c r="D2" s="18"/>
      <c r="E2" s="18"/>
      <c r="F2" s="18"/>
      <c r="G2" s="18"/>
      <c r="H2" s="18"/>
    </row>
    <row r="3" spans="1:13">
      <c r="A3" s="608" t="s">
        <v>108</v>
      </c>
      <c r="B3" s="608"/>
      <c r="C3" s="608"/>
      <c r="D3" s="608"/>
      <c r="E3" s="608"/>
      <c r="F3" s="608"/>
      <c r="G3" s="608"/>
      <c r="H3" s="608"/>
      <c r="I3" s="54">
        <f>inputPrYr!D6</f>
        <v>2014</v>
      </c>
    </row>
    <row r="4" spans="1:13">
      <c r="A4" s="577" t="str">
        <f>inputPrYr!D3</f>
        <v>S Centropolis Fire</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7, 2013 at 8:00 p.m. at 3124 Indiana Rd for the purpose of hearing and</v>
      </c>
      <c r="B6" s="640"/>
      <c r="C6" s="640"/>
      <c r="D6" s="640"/>
      <c r="E6" s="640"/>
      <c r="F6" s="640"/>
      <c r="G6" s="640"/>
      <c r="H6" s="640"/>
    </row>
    <row r="7" spans="1:13">
      <c r="A7" s="94" t="s">
        <v>328</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82</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210</v>
      </c>
      <c r="G14" s="637" t="str">
        <f>CONCATENATE("Amount of ",I3-1," Ad Valorem Tax")</f>
        <v>Amount of 2013 Ad Valorem Tax</v>
      </c>
      <c r="H14" s="309" t="s">
        <v>573</v>
      </c>
      <c r="J14" s="558" t="s">
        <v>678</v>
      </c>
      <c r="K14" s="559"/>
      <c r="L14" s="559"/>
      <c r="M14" s="560">
        <f>ROUND(F21/1000,0)</f>
        <v>3319</v>
      </c>
    </row>
    <row r="15" spans="1:13">
      <c r="A15" s="172" t="s">
        <v>52</v>
      </c>
      <c r="B15" s="110" t="s">
        <v>53</v>
      </c>
      <c r="C15" s="310" t="s">
        <v>192</v>
      </c>
      <c r="D15" s="110" t="s">
        <v>53</v>
      </c>
      <c r="E15" s="310" t="s">
        <v>192</v>
      </c>
      <c r="F15" s="110" t="s">
        <v>568</v>
      </c>
      <c r="G15" s="638"/>
      <c r="H15" s="310" t="s">
        <v>192</v>
      </c>
      <c r="J15" s="16"/>
      <c r="K15" s="16"/>
      <c r="L15" s="16"/>
      <c r="M15" s="16"/>
    </row>
    <row r="16" spans="1:13">
      <c r="A16" s="38" t="str">
        <f>inputPrYr!B19</f>
        <v>General</v>
      </c>
      <c r="B16" s="121">
        <f>IF(gen!$C$50&lt;&gt;0,gen!$C$50,"  ")</f>
        <v>6624</v>
      </c>
      <c r="C16" s="118">
        <f>IF(inputPrYr!D38&gt;0,inputPrYr!D38,"  ")</f>
        <v>1.9990000000000001</v>
      </c>
      <c r="D16" s="121">
        <f>IF(gen!$D$50&lt;&gt;0,gen!$D$50,"  ")</f>
        <v>8200</v>
      </c>
      <c r="E16" s="118">
        <f>IF(inputOth!D16&gt;0,inputOth!D16,"  ")</f>
        <v>1.0009999999999999</v>
      </c>
      <c r="F16" s="121">
        <f>IF(gen!$E$50&lt;&gt;0,gen!$E$50,"  ")</f>
        <v>14769</v>
      </c>
      <c r="G16" s="121">
        <f>IF(gen!$E$57&lt;&gt;0,gen!$E$57,"  ")</f>
        <v>3234</v>
      </c>
      <c r="H16" s="118">
        <f>IF(gen!E57&gt;0,ROUND(G16/$F$21*1000,3)," ")</f>
        <v>0.97399999999999998</v>
      </c>
      <c r="J16" s="629" t="str">
        <f>CONCATENATE("Want The Mill Rate The Same As For ",I3-1,"?")</f>
        <v>Want The Mill Rate The Same As For 2013?</v>
      </c>
      <c r="K16" s="632"/>
      <c r="L16" s="632"/>
      <c r="M16" s="633"/>
    </row>
    <row r="17" spans="1:13">
      <c r="A17" s="35" t="s">
        <v>132</v>
      </c>
      <c r="B17" s="314">
        <f t="shared" ref="B17:H17" si="0">SUM(B16:B16)</f>
        <v>6624</v>
      </c>
      <c r="C17" s="537">
        <f t="shared" si="0"/>
        <v>1.9990000000000001</v>
      </c>
      <c r="D17" s="314">
        <f t="shared" si="0"/>
        <v>8200</v>
      </c>
      <c r="E17" s="537">
        <f t="shared" si="0"/>
        <v>1.0009999999999999</v>
      </c>
      <c r="F17" s="314">
        <f t="shared" si="0"/>
        <v>14769</v>
      </c>
      <c r="G17" s="314">
        <f t="shared" si="0"/>
        <v>3234</v>
      </c>
      <c r="H17" s="537">
        <f t="shared" si="0"/>
        <v>0.97399999999999998</v>
      </c>
      <c r="J17" s="629" t="str">
        <f>CONCATENATE("Impact On Keeping The Same Mill Rate As For ",I3-1,"")</f>
        <v>Impact On Keeping The Same Mill Rate As For 2013</v>
      </c>
      <c r="K17" s="634"/>
      <c r="L17" s="634"/>
      <c r="M17" s="635"/>
    </row>
    <row r="18" spans="1:13">
      <c r="A18" s="35" t="s">
        <v>162</v>
      </c>
      <c r="B18" s="207">
        <f>transfers!C26</f>
        <v>0</v>
      </c>
      <c r="C18" s="126"/>
      <c r="D18" s="207">
        <f>transfers!D26</f>
        <v>0</v>
      </c>
      <c r="E18" s="126"/>
      <c r="F18" s="311">
        <f>transfers!E26</f>
        <v>0</v>
      </c>
      <c r="G18" s="253"/>
      <c r="H18" s="312"/>
      <c r="J18" s="561"/>
      <c r="K18" s="556"/>
      <c r="L18" s="556"/>
      <c r="M18" s="562"/>
    </row>
    <row r="19" spans="1:13" ht="16.5" thickBot="1">
      <c r="A19" s="35" t="s">
        <v>163</v>
      </c>
      <c r="B19" s="129">
        <f>SUM(B17-B18)</f>
        <v>6624</v>
      </c>
      <c r="C19" s="313"/>
      <c r="D19" s="129">
        <f>SUM(D17-D18)</f>
        <v>8200</v>
      </c>
      <c r="E19" s="313"/>
      <c r="F19" s="536">
        <f>SUM(F17-F18)</f>
        <v>14769</v>
      </c>
      <c r="G19" s="253"/>
      <c r="H19" s="312"/>
      <c r="J19" s="561" t="str">
        <f>CONCATENATE("",I3," Ad Valorem Tax Revenue:")</f>
        <v>2014 Ad Valorem Tax Revenue:</v>
      </c>
      <c r="K19" s="556"/>
      <c r="L19" s="556"/>
      <c r="M19" s="557">
        <f>G17</f>
        <v>3234</v>
      </c>
    </row>
    <row r="20" spans="1:13" ht="16.5" thickTop="1">
      <c r="A20" s="35" t="s">
        <v>54</v>
      </c>
      <c r="B20" s="314">
        <f>inputPrYr!E44</f>
        <v>6497</v>
      </c>
      <c r="C20" s="223"/>
      <c r="D20" s="314">
        <f>inputPrYr!E24</f>
        <v>3325</v>
      </c>
      <c r="E20" s="223"/>
      <c r="F20" s="315" t="s">
        <v>168</v>
      </c>
      <c r="G20" s="18"/>
      <c r="H20" s="18"/>
      <c r="J20" s="561" t="str">
        <f>CONCATENATE("",I3-1," Ad Valorem Tax Revenue:")</f>
        <v>2013 Ad Valorem Tax Revenue:</v>
      </c>
      <c r="K20" s="556"/>
      <c r="L20" s="556"/>
      <c r="M20" s="563" t="e">
        <f>ROUND(F21*#REF!/1000,0)</f>
        <v>#REF!</v>
      </c>
    </row>
    <row r="21" spans="1:13">
      <c r="A21" s="35" t="s">
        <v>164</v>
      </c>
      <c r="B21" s="207">
        <f>inputPrYr!E45</f>
        <v>3250718</v>
      </c>
      <c r="C21" s="223"/>
      <c r="D21" s="207">
        <f>inputOth!E24</f>
        <v>3323560</v>
      </c>
      <c r="E21" s="223"/>
      <c r="F21" s="207">
        <f>inputOth!E7</f>
        <v>3319388</v>
      </c>
      <c r="G21" s="18"/>
      <c r="H21" s="18"/>
      <c r="J21" s="564" t="s">
        <v>679</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741</v>
      </c>
      <c r="B24" s="605"/>
      <c r="C24" s="95"/>
      <c r="D24" s="18"/>
      <c r="E24" s="18"/>
      <c r="F24" s="18"/>
      <c r="G24" s="18"/>
      <c r="H24" s="54"/>
    </row>
    <row r="25" spans="1:13">
      <c r="A25" s="304" t="s">
        <v>742</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S Centropolis Fire</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205</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3319388</v>
      </c>
      <c r="E16" s="18"/>
      <c r="F16" s="54"/>
    </row>
    <row r="17" spans="1:6" ht="15.75">
      <c r="A17" s="18"/>
      <c r="B17" s="18"/>
      <c r="C17" s="18"/>
      <c r="D17" s="18"/>
      <c r="E17" s="18"/>
      <c r="F17" s="54"/>
    </row>
    <row r="18" spans="1:6" ht="15.75">
      <c r="A18" s="18"/>
      <c r="B18" s="644" t="s">
        <v>317</v>
      </c>
      <c r="C18" s="644"/>
      <c r="D18" s="325">
        <f>IF(D16&gt;0,(D16*0.001),"")</f>
        <v>3319.3879999999999</v>
      </c>
      <c r="E18" s="18"/>
      <c r="F18" s="54"/>
    </row>
    <row r="19" spans="1:6" ht="15.75">
      <c r="A19" s="18"/>
      <c r="B19" s="138"/>
      <c r="C19" s="138"/>
      <c r="D19" s="326"/>
      <c r="E19" s="18"/>
      <c r="F19" s="54"/>
    </row>
    <row r="20" spans="1:6" ht="15.75">
      <c r="A20" s="641" t="s">
        <v>315</v>
      </c>
      <c r="B20" s="636"/>
      <c r="C20" s="636"/>
      <c r="D20" s="327">
        <f>inputOth!E12</f>
        <v>0</v>
      </c>
      <c r="E20" s="58"/>
      <c r="F20" s="58"/>
    </row>
    <row r="21" spans="1:6">
      <c r="A21" s="58"/>
      <c r="B21" s="58"/>
      <c r="C21" s="58"/>
      <c r="D21" s="328"/>
      <c r="E21" s="58"/>
      <c r="F21" s="58"/>
    </row>
    <row r="22" spans="1:6" ht="15.75">
      <c r="A22" s="58"/>
      <c r="B22" s="641" t="s">
        <v>316</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555</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B30" sqref="B30"/>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129</v>
      </c>
      <c r="B3" s="18"/>
      <c r="C3" s="18"/>
      <c r="D3" s="20" t="s">
        <v>733</v>
      </c>
      <c r="E3" s="21"/>
    </row>
    <row r="4" spans="1:5">
      <c r="A4" s="19" t="s">
        <v>224</v>
      </c>
      <c r="B4" s="18"/>
      <c r="C4" s="18"/>
      <c r="D4" s="22" t="s">
        <v>729</v>
      </c>
      <c r="E4" s="21"/>
    </row>
    <row r="5" spans="1:5">
      <c r="A5" s="17"/>
      <c r="B5" s="18"/>
      <c r="C5" s="18"/>
      <c r="D5" s="23"/>
      <c r="E5" s="21"/>
    </row>
    <row r="6" spans="1:5">
      <c r="A6" s="19" t="s">
        <v>148</v>
      </c>
      <c r="B6" s="18"/>
      <c r="C6" s="18"/>
      <c r="D6" s="24">
        <v>2014</v>
      </c>
      <c r="E6" s="21"/>
    </row>
    <row r="7" spans="1:5">
      <c r="A7" s="18"/>
      <c r="B7" s="18"/>
      <c r="C7" s="18"/>
      <c r="D7" s="18"/>
      <c r="E7" s="18"/>
    </row>
    <row r="8" spans="1:5">
      <c r="A8" s="579" t="s">
        <v>203</v>
      </c>
      <c r="B8" s="580"/>
      <c r="C8" s="580"/>
      <c r="D8" s="580"/>
      <c r="E8" s="580"/>
    </row>
    <row r="9" spans="1:5">
      <c r="A9" s="25" t="s">
        <v>76</v>
      </c>
      <c r="B9" s="26"/>
      <c r="C9" s="26"/>
      <c r="D9" s="26"/>
      <c r="E9" s="26"/>
    </row>
    <row r="10" spans="1:5">
      <c r="A10" s="581" t="s">
        <v>202</v>
      </c>
      <c r="B10" s="582"/>
      <c r="C10" s="582"/>
      <c r="D10" s="582"/>
      <c r="E10" s="582"/>
    </row>
    <row r="11" spans="1:5">
      <c r="A11" s="27"/>
      <c r="B11" s="18"/>
      <c r="C11" s="18"/>
      <c r="D11" s="18"/>
      <c r="E11" s="18"/>
    </row>
    <row r="12" spans="1:5">
      <c r="A12" s="575" t="s">
        <v>190</v>
      </c>
      <c r="B12" s="576"/>
      <c r="C12" s="576"/>
      <c r="D12" s="576"/>
      <c r="E12" s="576"/>
    </row>
    <row r="13" spans="1:5">
      <c r="A13" s="27"/>
      <c r="B13" s="18"/>
      <c r="C13" s="18"/>
      <c r="D13" s="18"/>
      <c r="E13" s="18"/>
    </row>
    <row r="14" spans="1:5">
      <c r="A14" s="28" t="s">
        <v>149</v>
      </c>
      <c r="B14" s="29"/>
      <c r="C14" s="18"/>
      <c r="D14" s="18"/>
      <c r="E14" s="18"/>
    </row>
    <row r="15" spans="1:5">
      <c r="A15" s="30" t="str">
        <f>CONCATENATE("the ",D6-1," Budget, Certificate Page:")</f>
        <v>the 2013 Budget, Certificate Page:</v>
      </c>
      <c r="B15" s="31"/>
      <c r="C15" s="18"/>
      <c r="D15" s="18"/>
      <c r="E15" s="18"/>
    </row>
    <row r="16" spans="1:5">
      <c r="A16" s="30" t="s">
        <v>274</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275</v>
      </c>
      <c r="E18" s="584"/>
    </row>
    <row r="19" spans="1:5">
      <c r="A19" s="18"/>
      <c r="B19" s="35" t="s">
        <v>10</v>
      </c>
      <c r="C19" s="426" t="s">
        <v>734</v>
      </c>
      <c r="D19" s="37">
        <v>11664</v>
      </c>
      <c r="E19" s="37">
        <v>3325</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3325</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11664</v>
      </c>
      <c r="E28" s="39"/>
    </row>
    <row r="29" spans="1:5">
      <c r="A29" s="18" t="s">
        <v>242</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149</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1.9990000000000001</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1.9990000000000001</v>
      </c>
      <c r="E42" s="39"/>
    </row>
    <row r="43" spans="1:5" ht="16.5" thickTop="1">
      <c r="A43" s="18"/>
      <c r="B43" s="18"/>
      <c r="C43" s="18"/>
      <c r="D43" s="18"/>
      <c r="E43" s="39"/>
    </row>
    <row r="44" spans="1:5">
      <c r="A44" s="51" t="str">
        <f>CONCATENATE("Total Tax Levied (",D6-2," budget column)")</f>
        <v>Total Tax Levied (2012 budget column)</v>
      </c>
      <c r="B44" s="29"/>
      <c r="C44" s="18"/>
      <c r="D44" s="18"/>
      <c r="E44" s="52">
        <v>6497</v>
      </c>
    </row>
    <row r="45" spans="1:5">
      <c r="A45" s="51" t="str">
        <f>CONCATENATE("Assessed Valuation (",D6-2," budget column)")</f>
        <v>Assessed Valuation (2012 budget column)</v>
      </c>
      <c r="B45" s="29"/>
      <c r="C45" s="18"/>
      <c r="D45" s="18"/>
      <c r="E45" s="53">
        <v>3250718</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53" t="s">
        <v>137</v>
      </c>
      <c r="C1" s="653"/>
      <c r="D1" s="653"/>
      <c r="E1" s="653"/>
      <c r="F1" s="653"/>
      <c r="G1" s="653"/>
      <c r="H1" s="653"/>
    </row>
    <row r="2" spans="2:10">
      <c r="B2" s="6"/>
      <c r="C2"/>
      <c r="D2"/>
      <c r="E2"/>
      <c r="F2"/>
      <c r="G2"/>
      <c r="H2"/>
    </row>
    <row r="3" spans="2:10">
      <c r="B3" s="654" t="s">
        <v>134</v>
      </c>
      <c r="C3" s="654"/>
      <c r="D3" s="654"/>
      <c r="E3" s="654"/>
      <c r="F3" s="654"/>
      <c r="G3" s="654"/>
      <c r="H3" s="654"/>
    </row>
    <row r="4" spans="2:10">
      <c r="B4" s="7"/>
      <c r="C4"/>
      <c r="D4"/>
      <c r="E4"/>
      <c r="F4"/>
      <c r="G4"/>
      <c r="H4"/>
    </row>
    <row r="5" spans="2:10">
      <c r="B5" s="646" t="str">
        <f>CONCATENATE("A resolution expressing the property taxation policy of the Board of ",(inputPrYr!D3)," District with respect to financing the ",inputPrYr!D6," annual budget for ", (inputPrYr!D3)," , ",(inputPrYr!D4)," , Kansas.")</f>
        <v>A resolution expressing the property taxation policy of the Board of S Centropolis Fire District with respect to financing the 2014 annual budget for S Centropolis Fire , Franklin County , Kansas.</v>
      </c>
      <c r="C5" s="647"/>
      <c r="D5" s="647"/>
      <c r="E5" s="647"/>
      <c r="F5" s="647"/>
      <c r="G5" s="647"/>
      <c r="H5" s="647"/>
    </row>
    <row r="6" spans="2:10">
      <c r="B6" s="647"/>
      <c r="C6" s="647"/>
      <c r="D6" s="647"/>
      <c r="E6" s="647"/>
      <c r="F6" s="647"/>
      <c r="G6" s="647"/>
      <c r="H6" s="647"/>
      <c r="J6" s="2" t="str">
        <f>CONCATENATE(J7)</f>
        <v/>
      </c>
    </row>
    <row r="7" spans="2:10">
      <c r="B7" s="11"/>
      <c r="C7"/>
      <c r="D7"/>
      <c r="E7"/>
      <c r="F7"/>
      <c r="G7"/>
      <c r="H7"/>
    </row>
    <row r="8" spans="2:10">
      <c r="B8" s="12" t="s">
        <v>169</v>
      </c>
      <c r="C8"/>
      <c r="D8"/>
      <c r="E8"/>
      <c r="F8"/>
      <c r="G8"/>
      <c r="H8"/>
    </row>
    <row r="9" spans="2:10">
      <c r="B9" s="12" t="str">
        <f>CONCATENATE("",inputPrYr!D6," ",(inputPrYr!D3), " district budget exceed the amount levied to finance the")</f>
        <v>2014 S Centropolis Fire district budget exceed the amount levied to finance the</v>
      </c>
      <c r="C9"/>
      <c r="D9"/>
      <c r="E9"/>
      <c r="F9"/>
      <c r="G9"/>
      <c r="H9"/>
    </row>
    <row r="10" spans="2:10">
      <c r="B10" s="12" t="str">
        <f>CONCATENATE("",inputPrYr!D6-1," ",inputPrYr!D3," except with regard to revenue produced and attributable to the")</f>
        <v>2013 S Centropolis Fire except with regard to revenue produced and attributable to the</v>
      </c>
      <c r="C10"/>
      <c r="D10"/>
      <c r="E10"/>
      <c r="F10"/>
      <c r="G10"/>
      <c r="H10"/>
    </row>
    <row r="11" spans="2:10">
      <c r="B11" s="650" t="s">
        <v>170</v>
      </c>
      <c r="C11" s="655"/>
      <c r="D11" s="655"/>
      <c r="E11" s="655"/>
      <c r="F11" s="655"/>
      <c r="G11" s="655"/>
      <c r="H11" s="655"/>
    </row>
    <row r="12" spans="2:10">
      <c r="B12" s="655"/>
      <c r="C12" s="655"/>
      <c r="D12" s="655"/>
      <c r="E12" s="655"/>
      <c r="F12" s="655"/>
      <c r="G12" s="655"/>
      <c r="H12" s="655"/>
    </row>
    <row r="13" spans="2:10">
      <c r="B13" s="655"/>
      <c r="C13" s="655"/>
      <c r="D13" s="655"/>
      <c r="E13" s="655"/>
      <c r="F13" s="655"/>
      <c r="G13" s="655"/>
      <c r="H13" s="655"/>
    </row>
    <row r="14" spans="2:10">
      <c r="B14" s="655"/>
      <c r="C14" s="655"/>
      <c r="D14" s="655"/>
      <c r="E14" s="655"/>
      <c r="F14" s="655"/>
      <c r="G14" s="655"/>
      <c r="H14" s="655"/>
    </row>
    <row r="15" spans="2:10">
      <c r="B15" s="1"/>
      <c r="C15" s="1"/>
      <c r="D15" s="1"/>
      <c r="E15" s="1"/>
      <c r="F15" s="1"/>
      <c r="G15" s="1"/>
      <c r="H15" s="1"/>
    </row>
    <row r="16" spans="2:10">
      <c r="B16" s="648" t="s">
        <v>146</v>
      </c>
      <c r="C16" s="649"/>
      <c r="D16" s="649"/>
      <c r="E16" s="649"/>
      <c r="F16" s="649"/>
      <c r="G16" s="649"/>
      <c r="H16" s="649"/>
    </row>
    <row r="17" spans="2:8">
      <c r="B17" s="649"/>
      <c r="C17" s="649"/>
      <c r="D17" s="649"/>
      <c r="E17" s="649"/>
      <c r="F17" s="649"/>
      <c r="G17" s="649"/>
      <c r="H17" s="649"/>
    </row>
    <row r="18" spans="2:8">
      <c r="B18" s="12"/>
      <c r="C18"/>
      <c r="D18"/>
      <c r="E18"/>
      <c r="F18"/>
      <c r="G18"/>
      <c r="H18"/>
    </row>
    <row r="19" spans="2:8">
      <c r="B19" s="12" t="str">
        <f>CONCATENATE("Whereas, ",(inputPrYr!D3)," provides essential services to district residents; and")</f>
        <v>Whereas, S Centropolis Fire provides essential services to district residents; and</v>
      </c>
      <c r="C19"/>
      <c r="D19"/>
      <c r="E19"/>
      <c r="F19"/>
      <c r="G19"/>
      <c r="H19"/>
    </row>
    <row r="20" spans="2:8">
      <c r="B20" s="12"/>
      <c r="C20"/>
      <c r="D20"/>
      <c r="E20"/>
      <c r="F20"/>
      <c r="G20"/>
      <c r="H20"/>
    </row>
    <row r="21" spans="2:8">
      <c r="B21" s="12" t="s">
        <v>147</v>
      </c>
      <c r="C21"/>
      <c r="D21"/>
      <c r="E21"/>
      <c r="F21"/>
      <c r="G21"/>
      <c r="H21"/>
    </row>
    <row r="22" spans="2:8">
      <c r="B22" s="12"/>
      <c r="C22"/>
      <c r="D22"/>
      <c r="E22"/>
      <c r="F22"/>
      <c r="G22"/>
      <c r="H22"/>
    </row>
    <row r="23" spans="2:8">
      <c r="B23" s="650"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S Centropolis Fire that is our desire to notify the public of the possibility of increased property taxes to finance the 2014 S Centropolis Fire  budget as defined above.</v>
      </c>
      <c r="C23" s="651"/>
      <c r="D23" s="651"/>
      <c r="E23" s="651"/>
      <c r="F23" s="651"/>
      <c r="G23" s="651"/>
      <c r="H23" s="651"/>
    </row>
    <row r="24" spans="2:8">
      <c r="B24" s="651"/>
      <c r="C24" s="651"/>
      <c r="D24" s="651"/>
      <c r="E24" s="651"/>
      <c r="F24" s="651"/>
      <c r="G24" s="651"/>
      <c r="H24" s="651"/>
    </row>
    <row r="25" spans="2:8">
      <c r="B25" s="651"/>
      <c r="C25" s="651"/>
      <c r="D25" s="651"/>
      <c r="E25" s="651"/>
      <c r="F25" s="651"/>
      <c r="G25" s="651"/>
      <c r="H25" s="651"/>
    </row>
    <row r="26" spans="2:8">
      <c r="B26" s="12"/>
      <c r="C26"/>
      <c r="D26"/>
      <c r="E26"/>
      <c r="F26"/>
      <c r="G26"/>
      <c r="H26"/>
    </row>
    <row r="27" spans="2:8">
      <c r="B27" s="648" t="str">
        <f>CONCATENATE("Adopted this _________ day of ___________, ",inputPrYr!D6-1," by the ",(inputPrYr!D3)," District Board, ",(inputPrYr!D4),", Kansas.")</f>
        <v>Adopted this _________ day of ___________, 2013 by the S Centropolis Fire District Board, Franklin County, Kansas.</v>
      </c>
      <c r="C27" s="647"/>
      <c r="D27" s="647"/>
      <c r="E27" s="647"/>
      <c r="F27" s="647"/>
      <c r="G27" s="647"/>
      <c r="H27" s="647"/>
    </row>
    <row r="28" spans="2:8">
      <c r="B28" s="647"/>
      <c r="C28" s="647"/>
      <c r="D28" s="647"/>
      <c r="E28" s="647"/>
      <c r="F28" s="647"/>
      <c r="G28" s="647"/>
      <c r="H28" s="647"/>
    </row>
    <row r="29" spans="2:8">
      <c r="B29" s="8"/>
      <c r="C29"/>
      <c r="D29"/>
      <c r="E29"/>
      <c r="F29"/>
      <c r="G29"/>
      <c r="H29"/>
    </row>
    <row r="30" spans="2:8">
      <c r="B30" s="8"/>
      <c r="C30"/>
      <c r="D30"/>
      <c r="E30"/>
      <c r="F30"/>
      <c r="G30"/>
      <c r="H30"/>
    </row>
    <row r="31" spans="2:8">
      <c r="B31" s="9" t="str">
        <f>CONCATENATE(" ",(inputPrYr!D3)," District Board")</f>
        <v xml:space="preserve"> S Centropolis Fire District Board</v>
      </c>
      <c r="C31"/>
      <c r="D31"/>
      <c r="E31"/>
      <c r="F31"/>
      <c r="G31"/>
      <c r="H31"/>
    </row>
    <row r="32" spans="2:8">
      <c r="B32" s="8"/>
      <c r="C32"/>
      <c r="D32"/>
      <c r="E32"/>
      <c r="F32"/>
      <c r="G32"/>
      <c r="H32"/>
    </row>
    <row r="33" spans="2:8">
      <c r="B33"/>
      <c r="C33"/>
      <c r="D33"/>
      <c r="E33" s="652" t="s">
        <v>135</v>
      </c>
      <c r="F33" s="652"/>
      <c r="G33" s="652"/>
      <c r="H33" s="652"/>
    </row>
    <row r="34" spans="2:8">
      <c r="B34"/>
      <c r="C34"/>
      <c r="D34"/>
      <c r="E34" s="652" t="s">
        <v>138</v>
      </c>
      <c r="F34" s="652"/>
      <c r="G34" s="652"/>
      <c r="H34" s="652"/>
    </row>
    <row r="35" spans="2:8">
      <c r="B35" s="8"/>
      <c r="C35"/>
      <c r="D35"/>
      <c r="E35" s="652"/>
      <c r="F35" s="652"/>
      <c r="G35" s="652"/>
      <c r="H35" s="652"/>
    </row>
    <row r="36" spans="2:8">
      <c r="B36"/>
      <c r="C36"/>
      <c r="D36"/>
      <c r="E36" s="652" t="s">
        <v>135</v>
      </c>
      <c r="F36" s="652"/>
      <c r="G36" s="652"/>
      <c r="H36" s="652"/>
    </row>
    <row r="37" spans="2:8">
      <c r="B37"/>
      <c r="C37"/>
      <c r="D37"/>
      <c r="E37" s="652" t="s">
        <v>139</v>
      </c>
      <c r="F37" s="652"/>
      <c r="G37" s="652"/>
      <c r="H37" s="652"/>
    </row>
    <row r="38" spans="2:8">
      <c r="B38" s="8"/>
      <c r="C38"/>
      <c r="D38"/>
      <c r="E38" s="652"/>
      <c r="F38" s="652"/>
      <c r="G38" s="652"/>
      <c r="H38" s="652"/>
    </row>
    <row r="39" spans="2:8">
      <c r="B39"/>
      <c r="C39"/>
      <c r="D39"/>
      <c r="E39" s="652" t="s">
        <v>135</v>
      </c>
      <c r="F39" s="652"/>
      <c r="G39" s="652"/>
      <c r="H39" s="652"/>
    </row>
    <row r="40" spans="2:8">
      <c r="B40"/>
      <c r="C40"/>
      <c r="D40"/>
      <c r="E40" s="652" t="s">
        <v>140</v>
      </c>
      <c r="F40" s="652"/>
      <c r="G40" s="652"/>
      <c r="H40" s="652"/>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136</v>
      </c>
      <c r="E46" s="645"/>
      <c r="F46" s="645"/>
      <c r="G46" s="645"/>
      <c r="H46" s="645"/>
    </row>
    <row r="47" spans="2:8">
      <c r="B47" s="3"/>
      <c r="E47" s="645"/>
      <c r="F47" s="645"/>
      <c r="G47" s="645"/>
      <c r="H47" s="645"/>
    </row>
    <row r="48" spans="2:8">
      <c r="E48" s="645"/>
      <c r="F48" s="645"/>
      <c r="G48" s="645"/>
      <c r="H48" s="645"/>
    </row>
    <row r="49" spans="2:8">
      <c r="E49" s="645"/>
      <c r="F49" s="645"/>
      <c r="G49" s="645"/>
      <c r="H49" s="645"/>
    </row>
    <row r="50" spans="2:8">
      <c r="B50" s="3"/>
      <c r="E50" s="645"/>
      <c r="F50" s="645"/>
      <c r="G50" s="645"/>
      <c r="H50" s="645"/>
    </row>
    <row r="51" spans="2:8">
      <c r="B51" s="5"/>
    </row>
    <row r="52" spans="2:8">
      <c r="B52" s="5"/>
    </row>
    <row r="53" spans="2:8">
      <c r="B53" s="5"/>
    </row>
  </sheetData>
  <mergeCells count="20">
    <mergeCell ref="B1:H1"/>
    <mergeCell ref="B3:H3"/>
    <mergeCell ref="B11:H14"/>
    <mergeCell ref="E39:H39"/>
    <mergeCell ref="E33:H33"/>
    <mergeCell ref="E34:H34"/>
    <mergeCell ref="E35:H35"/>
    <mergeCell ref="E36:H36"/>
    <mergeCell ref="E37:H37"/>
    <mergeCell ref="E38:H38"/>
    <mergeCell ref="E47:H47"/>
    <mergeCell ref="B5:H6"/>
    <mergeCell ref="E50:H50"/>
    <mergeCell ref="E46:H46"/>
    <mergeCell ref="E48:H48"/>
    <mergeCell ref="E49:H49"/>
    <mergeCell ref="B16:H17"/>
    <mergeCell ref="B23:H25"/>
    <mergeCell ref="B27:H28"/>
    <mergeCell ref="E40:H40"/>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334</v>
      </c>
      <c r="B3" s="373"/>
      <c r="C3" s="373"/>
      <c r="D3" s="373"/>
      <c r="E3" s="373"/>
      <c r="F3" s="373"/>
      <c r="G3" s="373"/>
      <c r="H3" s="373"/>
      <c r="I3" s="373"/>
      <c r="J3" s="373"/>
      <c r="K3" s="373"/>
      <c r="L3" s="373"/>
    </row>
    <row r="5" spans="1:12">
      <c r="A5" s="374" t="s">
        <v>335</v>
      </c>
    </row>
    <row r="6" spans="1:12">
      <c r="A6" s="374" t="str">
        <f>CONCATENATE(inputPrYr!D6-2," 'total expenditures' exceed your ",inputPrYr!D6-2," 'budget authority.'")</f>
        <v>2012 'total expenditures' exceed your 2012 'budget authority.'</v>
      </c>
    </row>
    <row r="7" spans="1:12">
      <c r="A7" s="374"/>
    </row>
    <row r="8" spans="1:12">
      <c r="A8" s="374" t="s">
        <v>336</v>
      </c>
    </row>
    <row r="9" spans="1:12">
      <c r="A9" s="374" t="s">
        <v>337</v>
      </c>
    </row>
    <row r="10" spans="1:12">
      <c r="A10" s="374" t="s">
        <v>338</v>
      </c>
    </row>
    <row r="11" spans="1:12">
      <c r="A11" s="374"/>
    </row>
    <row r="12" spans="1:12">
      <c r="A12" s="374"/>
    </row>
    <row r="13" spans="1:12">
      <c r="A13" s="375" t="s">
        <v>339</v>
      </c>
    </row>
    <row r="15" spans="1:12">
      <c r="A15" s="374" t="s">
        <v>340</v>
      </c>
    </row>
    <row r="16" spans="1:12">
      <c r="A16" s="374" t="str">
        <f>CONCATENATE("(i.e. an audit has not been completed, or the ",inputPrYr!D6," adopted")</f>
        <v>(i.e. an audit has not been completed, or the 2014 adopted</v>
      </c>
    </row>
    <row r="17" spans="1:1">
      <c r="A17" s="374" t="s">
        <v>341</v>
      </c>
    </row>
    <row r="18" spans="1:1">
      <c r="A18" s="374" t="s">
        <v>342</v>
      </c>
    </row>
    <row r="19" spans="1:1">
      <c r="A19" s="374" t="s">
        <v>343</v>
      </c>
    </row>
    <row r="21" spans="1:1">
      <c r="A21" s="375" t="s">
        <v>344</v>
      </c>
    </row>
    <row r="22" spans="1:1">
      <c r="A22" s="375"/>
    </row>
    <row r="23" spans="1:1">
      <c r="A23" s="374" t="s">
        <v>345</v>
      </c>
    </row>
    <row r="24" spans="1:1">
      <c r="A24" s="374" t="s">
        <v>346</v>
      </c>
    </row>
    <row r="25" spans="1:1">
      <c r="A25" s="374" t="str">
        <f>CONCATENATE("particular fund.  If your ",inputPrYr!D6-2," budget was amended, did you")</f>
        <v>particular fund.  If your 2012 budget was amended, did you</v>
      </c>
    </row>
    <row r="26" spans="1:1">
      <c r="A26" s="374" t="s">
        <v>347</v>
      </c>
    </row>
    <row r="27" spans="1:1">
      <c r="A27" s="374"/>
    </row>
    <row r="28" spans="1:1">
      <c r="A28" s="374" t="str">
        <f>CONCATENATE("Next, look to see if any of your ",inputPrYr!D6-2," expenditures can be")</f>
        <v>Next, look to see if any of your 2012 expenditures can be</v>
      </c>
    </row>
    <row r="29" spans="1:1">
      <c r="A29" s="374" t="s">
        <v>348</v>
      </c>
    </row>
    <row r="30" spans="1:1">
      <c r="A30" s="374" t="s">
        <v>349</v>
      </c>
    </row>
    <row r="31" spans="1:1">
      <c r="A31" s="374" t="s">
        <v>350</v>
      </c>
    </row>
    <row r="32" spans="1:1">
      <c r="A32" s="374"/>
    </row>
    <row r="33" spans="1:1">
      <c r="A33" s="374" t="str">
        <f>CONCATENATE("Additionally, do your ",inputPrYr!D6-2," receipts contain a reimbursement")</f>
        <v>Additionally, do your 2012 receipts contain a reimbursement</v>
      </c>
    </row>
    <row r="34" spans="1:1">
      <c r="A34" s="374" t="s">
        <v>351</v>
      </c>
    </row>
    <row r="35" spans="1:1">
      <c r="A35" s="374" t="s">
        <v>352</v>
      </c>
    </row>
    <row r="36" spans="1:1">
      <c r="A36" s="374"/>
    </row>
    <row r="37" spans="1:1">
      <c r="A37" s="374" t="s">
        <v>356</v>
      </c>
    </row>
    <row r="38" spans="1:1">
      <c r="A38" s="374" t="s">
        <v>357</v>
      </c>
    </row>
    <row r="39" spans="1:1">
      <c r="A39" s="374" t="s">
        <v>358</v>
      </c>
    </row>
    <row r="40" spans="1:1">
      <c r="A40" s="374"/>
    </row>
    <row r="41" spans="1:1">
      <c r="A41" s="375" t="s">
        <v>359</v>
      </c>
    </row>
    <row r="42" spans="1:1">
      <c r="A42" s="374"/>
    </row>
    <row r="43" spans="1:1">
      <c r="A43" s="374" t="s">
        <v>360</v>
      </c>
    </row>
    <row r="44" spans="1:1">
      <c r="A44" s="374" t="s">
        <v>361</v>
      </c>
    </row>
    <row r="45" spans="1:1">
      <c r="A45" s="374" t="s">
        <v>362</v>
      </c>
    </row>
    <row r="46" spans="1:1">
      <c r="A46" s="374" t="s">
        <v>363</v>
      </c>
    </row>
    <row r="47" spans="1:1">
      <c r="A47" s="374" t="s">
        <v>364</v>
      </c>
    </row>
    <row r="48" spans="1:1">
      <c r="A48" s="374" t="s">
        <v>365</v>
      </c>
    </row>
    <row r="49" spans="1:1">
      <c r="A49" s="374" t="s">
        <v>366</v>
      </c>
    </row>
    <row r="50" spans="1:1">
      <c r="A50" s="374" t="s">
        <v>367</v>
      </c>
    </row>
    <row r="51" spans="1:1">
      <c r="A51" s="374" t="s">
        <v>368</v>
      </c>
    </row>
    <row r="52" spans="1:1">
      <c r="A52" s="374" t="s">
        <v>369</v>
      </c>
    </row>
    <row r="53" spans="1:1">
      <c r="A53" s="374" t="s">
        <v>370</v>
      </c>
    </row>
    <row r="54" spans="1:1">
      <c r="A54" s="374" t="s">
        <v>371</v>
      </c>
    </row>
    <row r="55" spans="1:1">
      <c r="A55" s="374" t="s">
        <v>372</v>
      </c>
    </row>
    <row r="56" spans="1:1">
      <c r="A56" s="374"/>
    </row>
    <row r="57" spans="1:1">
      <c r="A57" s="374" t="s">
        <v>373</v>
      </c>
    </row>
    <row r="58" spans="1:1">
      <c r="A58" s="374" t="s">
        <v>374</v>
      </c>
    </row>
    <row r="59" spans="1:1">
      <c r="A59" s="374" t="s">
        <v>375</v>
      </c>
    </row>
    <row r="60" spans="1:1">
      <c r="A60" s="374"/>
    </row>
    <row r="61" spans="1:1">
      <c r="A61" s="375" t="str">
        <f>CONCATENATE("What if the ",inputPrYr!D6-2," financial records have been closed?")</f>
        <v>What if the 2012 financial records have been closed?</v>
      </c>
    </row>
    <row r="63" spans="1:1">
      <c r="A63" s="374" t="s">
        <v>376</v>
      </c>
    </row>
    <row r="64" spans="1:1">
      <c r="A64" s="374" t="str">
        <f>CONCATENATE("(i.e. an audit for ",inputPrYr!D6-2," has been completed, or the ",inputPrYr!D6)</f>
        <v>(i.e. an audit for 2012 has been completed, or the 2014</v>
      </c>
    </row>
    <row r="65" spans="1:1">
      <c r="A65" s="374" t="s">
        <v>377</v>
      </c>
    </row>
    <row r="66" spans="1:1">
      <c r="A66" s="374" t="s">
        <v>378</v>
      </c>
    </row>
    <row r="67" spans="1:1">
      <c r="A67" s="374"/>
    </row>
    <row r="68" spans="1:1">
      <c r="A68" s="374" t="s">
        <v>379</v>
      </c>
    </row>
    <row r="69" spans="1:1">
      <c r="A69" s="374" t="s">
        <v>380</v>
      </c>
    </row>
    <row r="70" spans="1:1">
      <c r="A70" s="374" t="s">
        <v>381</v>
      </c>
    </row>
    <row r="71" spans="1:1">
      <c r="A71" s="374"/>
    </row>
    <row r="72" spans="1:1">
      <c r="A72" s="374" t="s">
        <v>382</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383</v>
      </c>
      <c r="B3" s="373"/>
      <c r="C3" s="373"/>
      <c r="D3" s="373"/>
      <c r="E3" s="373"/>
      <c r="F3" s="373"/>
      <c r="G3" s="373"/>
      <c r="H3" s="376"/>
      <c r="I3" s="376"/>
      <c r="J3" s="376"/>
    </row>
    <row r="5" spans="1:10">
      <c r="A5" s="374" t="s">
        <v>384</v>
      </c>
    </row>
    <row r="6" spans="1:10">
      <c r="A6" t="str">
        <f>CONCATENATE(inputPrYr!D6-2," expenditures show that you finished the year with a ")</f>
        <v xml:space="preserve">2012 expenditures show that you finished the year with a </v>
      </c>
    </row>
    <row r="7" spans="1:10">
      <c r="A7" t="s">
        <v>385</v>
      </c>
    </row>
    <row r="9" spans="1:10">
      <c r="A9" t="s">
        <v>386</v>
      </c>
    </row>
    <row r="10" spans="1:10">
      <c r="A10" t="s">
        <v>387</v>
      </c>
    </row>
    <row r="11" spans="1:10">
      <c r="A11" t="s">
        <v>388</v>
      </c>
    </row>
    <row r="13" spans="1:10">
      <c r="A13" s="375" t="s">
        <v>389</v>
      </c>
    </row>
    <row r="14" spans="1:10">
      <c r="A14" s="375"/>
    </row>
    <row r="15" spans="1:10">
      <c r="A15" s="374" t="s">
        <v>390</v>
      </c>
    </row>
    <row r="16" spans="1:10">
      <c r="A16" s="374" t="s">
        <v>391</v>
      </c>
    </row>
    <row r="17" spans="1:1">
      <c r="A17" s="374" t="s">
        <v>392</v>
      </c>
    </row>
    <row r="18" spans="1:1">
      <c r="A18" s="374"/>
    </row>
    <row r="19" spans="1:1">
      <c r="A19" s="375" t="s">
        <v>393</v>
      </c>
    </row>
    <row r="20" spans="1:1">
      <c r="A20" s="375"/>
    </row>
    <row r="21" spans="1:1">
      <c r="A21" s="374" t="s">
        <v>394</v>
      </c>
    </row>
    <row r="22" spans="1:1">
      <c r="A22" s="374" t="s">
        <v>395</v>
      </c>
    </row>
    <row r="23" spans="1:1">
      <c r="A23" s="374" t="s">
        <v>396</v>
      </c>
    </row>
    <row r="24" spans="1:1">
      <c r="A24" s="374"/>
    </row>
    <row r="25" spans="1:1">
      <c r="A25" s="375" t="s">
        <v>397</v>
      </c>
    </row>
    <row r="26" spans="1:1">
      <c r="A26" s="375"/>
    </row>
    <row r="27" spans="1:1">
      <c r="A27" s="374" t="s">
        <v>398</v>
      </c>
    </row>
    <row r="28" spans="1:1">
      <c r="A28" s="374" t="s">
        <v>399</v>
      </c>
    </row>
    <row r="29" spans="1:1">
      <c r="A29" s="374" t="s">
        <v>400</v>
      </c>
    </row>
    <row r="30" spans="1:1">
      <c r="A30" s="374"/>
    </row>
    <row r="31" spans="1:1">
      <c r="A31" s="375" t="s">
        <v>401</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402</v>
      </c>
      <c r="B35" s="374"/>
      <c r="C35" s="374"/>
      <c r="D35" s="374"/>
      <c r="E35" s="374"/>
      <c r="F35" s="374"/>
      <c r="G35" s="374"/>
      <c r="H35" s="374"/>
    </row>
    <row r="36" spans="1:8">
      <c r="A36" s="374" t="s">
        <v>403</v>
      </c>
      <c r="B36" s="374"/>
      <c r="C36" s="374"/>
      <c r="D36" s="374"/>
      <c r="E36" s="374"/>
      <c r="F36" s="374"/>
      <c r="G36" s="374"/>
      <c r="H36" s="374"/>
    </row>
    <row r="37" spans="1:8">
      <c r="A37" s="374" t="s">
        <v>404</v>
      </c>
      <c r="B37" s="374"/>
      <c r="C37" s="374"/>
      <c r="D37" s="374"/>
      <c r="E37" s="374"/>
      <c r="F37" s="374"/>
      <c r="G37" s="374"/>
      <c r="H37" s="374"/>
    </row>
    <row r="38" spans="1:8">
      <c r="A38" s="374" t="s">
        <v>405</v>
      </c>
      <c r="B38" s="374"/>
      <c r="C38" s="374"/>
      <c r="D38" s="374"/>
      <c r="E38" s="374"/>
      <c r="F38" s="374"/>
      <c r="G38" s="374"/>
      <c r="H38" s="374"/>
    </row>
    <row r="39" spans="1:8">
      <c r="A39" s="374" t="s">
        <v>406</v>
      </c>
      <c r="B39" s="374"/>
      <c r="C39" s="374"/>
      <c r="D39" s="374"/>
      <c r="E39" s="374"/>
      <c r="F39" s="374"/>
      <c r="G39" s="374"/>
      <c r="H39" s="374"/>
    </row>
    <row r="40" spans="1:8">
      <c r="A40" s="374"/>
      <c r="B40" s="374"/>
      <c r="C40" s="374"/>
      <c r="D40" s="374"/>
      <c r="E40" s="374"/>
      <c r="F40" s="374"/>
      <c r="G40" s="374"/>
      <c r="H40" s="374"/>
    </row>
    <row r="41" spans="1:8">
      <c r="A41" s="374" t="s">
        <v>407</v>
      </c>
      <c r="B41" s="374"/>
      <c r="C41" s="374"/>
      <c r="D41" s="374"/>
      <c r="E41" s="374"/>
      <c r="F41" s="374"/>
      <c r="G41" s="374"/>
      <c r="H41" s="374"/>
    </row>
    <row r="42" spans="1:8">
      <c r="A42" s="374" t="s">
        <v>408</v>
      </c>
      <c r="B42" s="374"/>
      <c r="C42" s="374"/>
      <c r="D42" s="374"/>
      <c r="E42" s="374"/>
      <c r="F42" s="374"/>
      <c r="G42" s="374"/>
      <c r="H42" s="374"/>
    </row>
    <row r="43" spans="1:8">
      <c r="A43" s="374" t="s">
        <v>409</v>
      </c>
      <c r="B43" s="374"/>
      <c r="C43" s="374"/>
      <c r="D43" s="374"/>
      <c r="E43" s="374"/>
      <c r="F43" s="374"/>
      <c r="G43" s="374"/>
      <c r="H43" s="374"/>
    </row>
    <row r="44" spans="1:8">
      <c r="A44" s="374" t="s">
        <v>410</v>
      </c>
      <c r="B44" s="374"/>
      <c r="C44" s="374"/>
      <c r="D44" s="374"/>
      <c r="E44" s="374"/>
      <c r="F44" s="374"/>
      <c r="G44" s="374"/>
      <c r="H44" s="374"/>
    </row>
    <row r="45" spans="1:8">
      <c r="A45" s="374"/>
      <c r="B45" s="374"/>
      <c r="C45" s="374"/>
      <c r="D45" s="374"/>
      <c r="E45" s="374"/>
      <c r="F45" s="374"/>
      <c r="G45" s="374"/>
      <c r="H45" s="374"/>
    </row>
    <row r="46" spans="1:8">
      <c r="A46" s="374" t="s">
        <v>411</v>
      </c>
      <c r="B46" s="374"/>
      <c r="C46" s="374"/>
      <c r="D46" s="374"/>
      <c r="E46" s="374"/>
      <c r="F46" s="374"/>
      <c r="G46" s="374"/>
      <c r="H46" s="374"/>
    </row>
    <row r="47" spans="1:8">
      <c r="A47" s="374" t="s">
        <v>412</v>
      </c>
      <c r="B47" s="374"/>
      <c r="C47" s="374"/>
      <c r="D47" s="374"/>
      <c r="E47" s="374"/>
      <c r="F47" s="374"/>
      <c r="G47" s="374"/>
      <c r="H47" s="374"/>
    </row>
    <row r="48" spans="1:8">
      <c r="A48" s="374" t="s">
        <v>413</v>
      </c>
      <c r="B48" s="374"/>
      <c r="C48" s="374"/>
      <c r="D48" s="374"/>
      <c r="E48" s="374"/>
      <c r="F48" s="374"/>
      <c r="G48" s="374"/>
      <c r="H48" s="374"/>
    </row>
    <row r="49" spans="1:8">
      <c r="A49" s="374" t="s">
        <v>414</v>
      </c>
      <c r="B49" s="374"/>
      <c r="C49" s="374"/>
      <c r="D49" s="374"/>
      <c r="E49" s="374"/>
      <c r="F49" s="374"/>
      <c r="G49" s="374"/>
      <c r="H49" s="374"/>
    </row>
    <row r="50" spans="1:8">
      <c r="A50" s="374" t="s">
        <v>415</v>
      </c>
      <c r="B50" s="374"/>
      <c r="C50" s="374"/>
      <c r="D50" s="374"/>
      <c r="E50" s="374"/>
      <c r="F50" s="374"/>
      <c r="G50" s="374"/>
      <c r="H50" s="374"/>
    </row>
    <row r="51" spans="1:8">
      <c r="A51" s="374"/>
      <c r="B51" s="374"/>
      <c r="C51" s="374"/>
      <c r="D51" s="374"/>
      <c r="E51" s="374"/>
      <c r="F51" s="374"/>
      <c r="G51" s="374"/>
      <c r="H51" s="374"/>
    </row>
    <row r="52" spans="1:8">
      <c r="A52" s="375" t="s">
        <v>416</v>
      </c>
      <c r="B52" s="375"/>
      <c r="C52" s="375"/>
      <c r="D52" s="375"/>
      <c r="E52" s="375"/>
      <c r="F52" s="375"/>
      <c r="G52" s="375"/>
      <c r="H52" s="374"/>
    </row>
    <row r="53" spans="1:8">
      <c r="A53" s="375" t="s">
        <v>417</v>
      </c>
      <c r="B53" s="375"/>
      <c r="C53" s="375"/>
      <c r="D53" s="375"/>
      <c r="E53" s="375"/>
      <c r="F53" s="375"/>
      <c r="G53" s="375"/>
      <c r="H53" s="374"/>
    </row>
    <row r="54" spans="1:8">
      <c r="A54" s="374"/>
      <c r="B54" s="374"/>
      <c r="C54" s="374"/>
      <c r="D54" s="374"/>
      <c r="E54" s="374"/>
      <c r="F54" s="374"/>
      <c r="G54" s="374"/>
      <c r="H54" s="374"/>
    </row>
    <row r="55" spans="1:8">
      <c r="A55" s="374" t="s">
        <v>418</v>
      </c>
      <c r="B55" s="374"/>
      <c r="C55" s="374"/>
      <c r="D55" s="374"/>
      <c r="E55" s="374"/>
      <c r="F55" s="374"/>
      <c r="G55" s="374"/>
      <c r="H55" s="374"/>
    </row>
    <row r="56" spans="1:8">
      <c r="A56" s="374" t="s">
        <v>419</v>
      </c>
      <c r="B56" s="374"/>
      <c r="C56" s="374"/>
      <c r="D56" s="374"/>
      <c r="E56" s="374"/>
      <c r="F56" s="374"/>
      <c r="G56" s="374"/>
      <c r="H56" s="374"/>
    </row>
    <row r="57" spans="1:8">
      <c r="A57" s="374" t="s">
        <v>420</v>
      </c>
      <c r="B57" s="374"/>
      <c r="C57" s="374"/>
      <c r="D57" s="374"/>
      <c r="E57" s="374"/>
      <c r="F57" s="374"/>
      <c r="G57" s="374"/>
      <c r="H57" s="374"/>
    </row>
    <row r="58" spans="1:8">
      <c r="A58" s="374" t="s">
        <v>421</v>
      </c>
      <c r="B58" s="374"/>
      <c r="C58" s="374"/>
      <c r="D58" s="374"/>
      <c r="E58" s="374"/>
      <c r="F58" s="374"/>
      <c r="G58" s="374"/>
      <c r="H58" s="374"/>
    </row>
    <row r="59" spans="1:8">
      <c r="A59" s="374"/>
      <c r="B59" s="374"/>
      <c r="C59" s="374"/>
      <c r="D59" s="374"/>
      <c r="E59" s="374"/>
      <c r="F59" s="374"/>
      <c r="G59" s="374"/>
      <c r="H59" s="374"/>
    </row>
    <row r="60" spans="1:8">
      <c r="A60" s="374" t="s">
        <v>422</v>
      </c>
      <c r="B60" s="374"/>
      <c r="C60" s="374"/>
      <c r="D60" s="374"/>
      <c r="E60" s="374"/>
      <c r="F60" s="374"/>
      <c r="G60" s="374"/>
      <c r="H60" s="374"/>
    </row>
    <row r="61" spans="1:8">
      <c r="A61" s="374" t="s">
        <v>423</v>
      </c>
      <c r="B61" s="374"/>
      <c r="C61" s="374"/>
      <c r="D61" s="374"/>
      <c r="E61" s="374"/>
      <c r="F61" s="374"/>
      <c r="G61" s="374"/>
      <c r="H61" s="374"/>
    </row>
    <row r="62" spans="1:8">
      <c r="A62" s="374" t="s">
        <v>424</v>
      </c>
      <c r="B62" s="374"/>
      <c r="C62" s="374"/>
      <c r="D62" s="374"/>
      <c r="E62" s="374"/>
      <c r="F62" s="374"/>
      <c r="G62" s="374"/>
      <c r="H62" s="374"/>
    </row>
    <row r="63" spans="1:8">
      <c r="A63" s="374" t="s">
        <v>425</v>
      </c>
      <c r="B63" s="374"/>
      <c r="C63" s="374"/>
      <c r="D63" s="374"/>
      <c r="E63" s="374"/>
      <c r="F63" s="374"/>
      <c r="G63" s="374"/>
      <c r="H63" s="374"/>
    </row>
    <row r="64" spans="1:8">
      <c r="A64" s="374" t="s">
        <v>426</v>
      </c>
      <c r="B64" s="374"/>
      <c r="C64" s="374"/>
      <c r="D64" s="374"/>
      <c r="E64" s="374"/>
      <c r="F64" s="374"/>
      <c r="G64" s="374"/>
      <c r="H64" s="374"/>
    </row>
    <row r="65" spans="1:8">
      <c r="A65" s="374" t="s">
        <v>427</v>
      </c>
      <c r="B65" s="374"/>
      <c r="C65" s="374"/>
      <c r="D65" s="374"/>
      <c r="E65" s="374"/>
      <c r="F65" s="374"/>
      <c r="G65" s="374"/>
      <c r="H65" s="374"/>
    </row>
    <row r="66" spans="1:8">
      <c r="A66" s="374"/>
      <c r="B66" s="374"/>
      <c r="C66" s="374"/>
      <c r="D66" s="374"/>
      <c r="E66" s="374"/>
      <c r="F66" s="374"/>
      <c r="G66" s="374"/>
      <c r="H66" s="374"/>
    </row>
    <row r="67" spans="1:8">
      <c r="A67" s="374" t="s">
        <v>428</v>
      </c>
      <c r="B67" s="374"/>
      <c r="C67" s="374"/>
      <c r="D67" s="374"/>
      <c r="E67" s="374"/>
      <c r="F67" s="374"/>
      <c r="G67" s="374"/>
      <c r="H67" s="374"/>
    </row>
    <row r="68" spans="1:8">
      <c r="A68" s="374" t="s">
        <v>429</v>
      </c>
      <c r="B68" s="374"/>
      <c r="C68" s="374"/>
      <c r="D68" s="374"/>
      <c r="E68" s="374"/>
      <c r="F68" s="374"/>
      <c r="G68" s="374"/>
      <c r="H68" s="374"/>
    </row>
    <row r="69" spans="1:8">
      <c r="A69" s="374" t="s">
        <v>430</v>
      </c>
      <c r="B69" s="374"/>
      <c r="C69" s="374"/>
      <c r="D69" s="374"/>
      <c r="E69" s="374"/>
      <c r="F69" s="374"/>
      <c r="G69" s="374"/>
      <c r="H69" s="374"/>
    </row>
    <row r="70" spans="1:8">
      <c r="A70" s="374" t="s">
        <v>431</v>
      </c>
      <c r="B70" s="374"/>
      <c r="C70" s="374"/>
      <c r="D70" s="374"/>
      <c r="E70" s="374"/>
      <c r="F70" s="374"/>
      <c r="G70" s="374"/>
      <c r="H70" s="374"/>
    </row>
    <row r="71" spans="1:8">
      <c r="A71" s="374" t="s">
        <v>432</v>
      </c>
      <c r="B71" s="374"/>
      <c r="C71" s="374"/>
      <c r="D71" s="374"/>
      <c r="E71" s="374"/>
      <c r="F71" s="374"/>
      <c r="G71" s="374"/>
      <c r="H71" s="374"/>
    </row>
    <row r="72" spans="1:8">
      <c r="A72" s="374" t="s">
        <v>433</v>
      </c>
      <c r="B72" s="374"/>
      <c r="C72" s="374"/>
      <c r="D72" s="374"/>
      <c r="E72" s="374"/>
      <c r="F72" s="374"/>
      <c r="G72" s="374"/>
      <c r="H72" s="374"/>
    </row>
    <row r="73" spans="1:8">
      <c r="A73" s="374" t="s">
        <v>434</v>
      </c>
      <c r="B73" s="374"/>
      <c r="C73" s="374"/>
      <c r="D73" s="374"/>
      <c r="E73" s="374"/>
      <c r="F73" s="374"/>
      <c r="G73" s="374"/>
      <c r="H73" s="374"/>
    </row>
    <row r="74" spans="1:8">
      <c r="A74" s="374"/>
      <c r="B74" s="374"/>
      <c r="C74" s="374"/>
      <c r="D74" s="374"/>
      <c r="E74" s="374"/>
      <c r="F74" s="374"/>
      <c r="G74" s="374"/>
      <c r="H74" s="374"/>
    </row>
    <row r="75" spans="1:8">
      <c r="A75" s="374" t="s">
        <v>435</v>
      </c>
      <c r="B75" s="374"/>
      <c r="C75" s="374"/>
      <c r="D75" s="374"/>
      <c r="E75" s="374"/>
      <c r="F75" s="374"/>
      <c r="G75" s="374"/>
      <c r="H75" s="374"/>
    </row>
    <row r="76" spans="1:8">
      <c r="A76" s="374" t="s">
        <v>436</v>
      </c>
      <c r="B76" s="374"/>
      <c r="C76" s="374"/>
      <c r="D76" s="374"/>
      <c r="E76" s="374"/>
      <c r="F76" s="374"/>
      <c r="G76" s="374"/>
      <c r="H76" s="374"/>
    </row>
    <row r="77" spans="1:8">
      <c r="A77" s="374" t="s">
        <v>437</v>
      </c>
      <c r="B77" s="374"/>
      <c r="C77" s="374"/>
      <c r="D77" s="374"/>
      <c r="E77" s="374"/>
      <c r="F77" s="374"/>
      <c r="G77" s="374"/>
      <c r="H77" s="374"/>
    </row>
    <row r="78" spans="1:8">
      <c r="A78" s="374"/>
      <c r="B78" s="374"/>
      <c r="C78" s="374"/>
      <c r="D78" s="374"/>
      <c r="E78" s="374"/>
      <c r="F78" s="374"/>
      <c r="G78" s="374"/>
      <c r="H78" s="374"/>
    </row>
    <row r="79" spans="1:8">
      <c r="A79" s="374" t="s">
        <v>382</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438</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335</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439</v>
      </c>
      <c r="I7" s="373"/>
      <c r="J7" s="373"/>
      <c r="K7" s="373"/>
      <c r="L7" s="373"/>
    </row>
    <row r="8" spans="1:12">
      <c r="A8" s="374"/>
      <c r="I8" s="373"/>
      <c r="J8" s="373"/>
      <c r="K8" s="373"/>
      <c r="L8" s="373"/>
    </row>
    <row r="9" spans="1:12">
      <c r="A9" s="374" t="s">
        <v>440</v>
      </c>
      <c r="I9" s="373"/>
      <c r="J9" s="373"/>
      <c r="K9" s="373"/>
      <c r="L9" s="373"/>
    </row>
    <row r="10" spans="1:12">
      <c r="A10" s="374" t="s">
        <v>441</v>
      </c>
      <c r="I10" s="373"/>
      <c r="J10" s="373"/>
      <c r="K10" s="373"/>
      <c r="L10" s="373"/>
    </row>
    <row r="11" spans="1:12">
      <c r="A11" s="374" t="s">
        <v>442</v>
      </c>
      <c r="I11" s="373"/>
      <c r="J11" s="373"/>
      <c r="K11" s="373"/>
      <c r="L11" s="373"/>
    </row>
    <row r="12" spans="1:12">
      <c r="A12" s="374" t="s">
        <v>443</v>
      </c>
      <c r="I12" s="373"/>
      <c r="J12" s="373"/>
      <c r="K12" s="373"/>
      <c r="L12" s="373"/>
    </row>
    <row r="13" spans="1:12">
      <c r="A13" s="374" t="s">
        <v>444</v>
      </c>
      <c r="I13" s="373"/>
      <c r="J13" s="373"/>
      <c r="K13" s="373"/>
      <c r="L13" s="373"/>
    </row>
    <row r="14" spans="1:12">
      <c r="A14" s="373"/>
      <c r="B14" s="373"/>
      <c r="C14" s="373"/>
      <c r="D14" s="373"/>
      <c r="E14" s="373"/>
      <c r="F14" s="373"/>
      <c r="G14" s="373"/>
      <c r="H14" s="373"/>
      <c r="I14" s="373"/>
      <c r="J14" s="373"/>
      <c r="K14" s="373"/>
      <c r="L14" s="373"/>
    </row>
    <row r="15" spans="1:12">
      <c r="A15" s="375" t="s">
        <v>445</v>
      </c>
    </row>
    <row r="16" spans="1:12">
      <c r="A16" s="375" t="s">
        <v>446</v>
      </c>
    </row>
    <row r="17" spans="1:7">
      <c r="A17" s="375"/>
    </row>
    <row r="18" spans="1:7">
      <c r="A18" s="374" t="s">
        <v>447</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448</v>
      </c>
      <c r="B20" s="374"/>
      <c r="C20" s="374"/>
      <c r="D20" s="374"/>
      <c r="E20" s="374"/>
      <c r="F20" s="374"/>
      <c r="G20" s="374"/>
    </row>
    <row r="21" spans="1:7">
      <c r="A21" s="374" t="s">
        <v>449</v>
      </c>
      <c r="B21" s="374"/>
      <c r="C21" s="374"/>
      <c r="D21" s="374"/>
      <c r="E21" s="374"/>
      <c r="F21" s="374"/>
      <c r="G21" s="374"/>
    </row>
    <row r="22" spans="1:7">
      <c r="A22" s="374"/>
    </row>
    <row r="23" spans="1:7">
      <c r="A23" s="375" t="s">
        <v>450</v>
      </c>
    </row>
    <row r="24" spans="1:7">
      <c r="A24" s="375"/>
    </row>
    <row r="25" spans="1:7">
      <c r="A25" s="374" t="s">
        <v>451</v>
      </c>
    </row>
    <row r="26" spans="1:7">
      <c r="A26" s="374" t="s">
        <v>452</v>
      </c>
      <c r="B26" s="374"/>
      <c r="C26" s="374"/>
      <c r="D26" s="374"/>
      <c r="E26" s="374"/>
      <c r="F26" s="374"/>
    </row>
    <row r="27" spans="1:7">
      <c r="A27" s="374" t="s">
        <v>453</v>
      </c>
      <c r="B27" s="374"/>
      <c r="C27" s="374"/>
      <c r="D27" s="374"/>
      <c r="E27" s="374"/>
      <c r="F27" s="374"/>
    </row>
    <row r="28" spans="1:7">
      <c r="A28" s="374" t="s">
        <v>454</v>
      </c>
      <c r="B28" s="374"/>
      <c r="C28" s="374"/>
      <c r="D28" s="374"/>
      <c r="E28" s="374"/>
      <c r="F28" s="374"/>
    </row>
    <row r="29" spans="1:7">
      <c r="A29" s="374"/>
      <c r="B29" s="374"/>
      <c r="C29" s="374"/>
      <c r="D29" s="374"/>
      <c r="E29" s="374"/>
      <c r="F29" s="374"/>
    </row>
    <row r="30" spans="1:7">
      <c r="A30" s="375" t="s">
        <v>455</v>
      </c>
      <c r="B30" s="375"/>
      <c r="C30" s="375"/>
      <c r="D30" s="375"/>
      <c r="E30" s="375"/>
      <c r="F30" s="375"/>
      <c r="G30" s="375"/>
    </row>
    <row r="31" spans="1:7">
      <c r="A31" s="375" t="s">
        <v>456</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457</v>
      </c>
      <c r="B34" s="374"/>
      <c r="C34" s="374"/>
      <c r="D34" s="374"/>
      <c r="E34" s="374"/>
      <c r="F34" s="374"/>
    </row>
    <row r="35" spans="1:6">
      <c r="A35" s="366" t="s">
        <v>349</v>
      </c>
      <c r="B35" s="374"/>
      <c r="C35" s="374"/>
      <c r="D35" s="374"/>
      <c r="E35" s="374"/>
      <c r="F35" s="374"/>
    </row>
    <row r="36" spans="1:6">
      <c r="A36" s="366" t="s">
        <v>350</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351</v>
      </c>
      <c r="B39" s="374"/>
      <c r="C39" s="374"/>
      <c r="D39" s="374"/>
      <c r="E39" s="374"/>
      <c r="F39" s="374"/>
    </row>
    <row r="40" spans="1:6">
      <c r="A40" s="366" t="s">
        <v>352</v>
      </c>
      <c r="B40" s="374"/>
      <c r="C40" s="374"/>
      <c r="D40" s="374"/>
      <c r="E40" s="374"/>
      <c r="F40" s="374"/>
    </row>
    <row r="41" spans="1:6">
      <c r="A41" s="366"/>
      <c r="B41" s="374"/>
      <c r="C41" s="374"/>
      <c r="D41" s="374"/>
      <c r="E41" s="374"/>
      <c r="F41" s="374"/>
    </row>
    <row r="42" spans="1:6">
      <c r="A42" s="366" t="s">
        <v>458</v>
      </c>
      <c r="B42" s="374"/>
      <c r="C42" s="374"/>
      <c r="D42" s="374"/>
      <c r="E42" s="374"/>
      <c r="F42" s="374"/>
    </row>
    <row r="43" spans="1:6">
      <c r="A43" s="366" t="s">
        <v>459</v>
      </c>
      <c r="B43" s="374"/>
      <c r="C43" s="374"/>
      <c r="D43" s="374"/>
      <c r="E43" s="374"/>
      <c r="F43" s="374"/>
    </row>
    <row r="44" spans="1:6">
      <c r="A44" s="366" t="s">
        <v>460</v>
      </c>
      <c r="B44" s="374"/>
      <c r="C44" s="374"/>
      <c r="D44" s="374"/>
      <c r="E44" s="374"/>
      <c r="F44" s="374"/>
    </row>
    <row r="45" spans="1:6">
      <c r="A45" s="366" t="s">
        <v>461</v>
      </c>
      <c r="B45" s="374"/>
      <c r="C45" s="374"/>
      <c r="D45" s="374"/>
      <c r="E45" s="374"/>
      <c r="F45" s="374"/>
    </row>
    <row r="46" spans="1:6">
      <c r="A46" s="366" t="s">
        <v>462</v>
      </c>
      <c r="B46" s="374"/>
      <c r="C46" s="374"/>
      <c r="D46" s="374"/>
      <c r="E46" s="374"/>
      <c r="F46" s="374"/>
    </row>
    <row r="47" spans="1:6">
      <c r="A47" s="366"/>
      <c r="B47" s="374"/>
      <c r="C47" s="374"/>
      <c r="D47" s="374"/>
      <c r="E47" s="374"/>
      <c r="F47" s="374"/>
    </row>
    <row r="48" spans="1:6">
      <c r="A48" s="367" t="s">
        <v>463</v>
      </c>
      <c r="B48" s="374"/>
      <c r="C48" s="374"/>
      <c r="D48" s="374"/>
      <c r="E48" s="374"/>
      <c r="F48" s="374"/>
    </row>
    <row r="49" spans="1:6">
      <c r="A49" s="367" t="s">
        <v>464</v>
      </c>
      <c r="B49" s="374"/>
      <c r="C49" s="374"/>
      <c r="D49" s="374"/>
      <c r="E49" s="374"/>
      <c r="F49" s="374"/>
    </row>
    <row r="50" spans="1:6">
      <c r="A50" s="367" t="s">
        <v>465</v>
      </c>
      <c r="B50" s="374"/>
      <c r="C50" s="374"/>
      <c r="D50" s="374"/>
      <c r="E50" s="374"/>
      <c r="F50" s="374"/>
    </row>
    <row r="51" spans="1:6">
      <c r="A51" s="367" t="s">
        <v>466</v>
      </c>
    </row>
    <row r="52" spans="1:6">
      <c r="A52" s="367" t="s">
        <v>467</v>
      </c>
    </row>
    <row r="53" spans="1:6">
      <c r="A53" s="367" t="s">
        <v>468</v>
      </c>
    </row>
    <row r="55" spans="1:6">
      <c r="A55" s="374" t="s">
        <v>469</v>
      </c>
    </row>
    <row r="56" spans="1:6">
      <c r="A56" s="374" t="s">
        <v>470</v>
      </c>
    </row>
    <row r="57" spans="1:6">
      <c r="A57" s="374" t="s">
        <v>471</v>
      </c>
    </row>
    <row r="58" spans="1:6">
      <c r="A58" s="374" t="s">
        <v>472</v>
      </c>
    </row>
    <row r="59" spans="1:6">
      <c r="A59" s="374" t="s">
        <v>473</v>
      </c>
    </row>
    <row r="60" spans="1:6">
      <c r="A60" s="374" t="s">
        <v>474</v>
      </c>
    </row>
    <row r="62" spans="1:6">
      <c r="A62" s="374" t="s">
        <v>382</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475</v>
      </c>
      <c r="B3" s="373"/>
      <c r="C3" s="373"/>
      <c r="D3" s="373"/>
      <c r="E3" s="373"/>
      <c r="F3" s="373"/>
      <c r="G3" s="373"/>
    </row>
    <row r="4" spans="1:7">
      <c r="A4" s="373"/>
      <c r="B4" s="373"/>
      <c r="C4" s="373"/>
      <c r="D4" s="373"/>
      <c r="E4" s="373"/>
      <c r="F4" s="373"/>
      <c r="G4" s="373"/>
    </row>
    <row r="5" spans="1:7">
      <c r="A5" s="374" t="s">
        <v>384</v>
      </c>
    </row>
    <row r="6" spans="1:7">
      <c r="A6" s="374" t="str">
        <f>CONCATENATE(inputPrYr!D6-1," estimated expenditures show that at the end of this year")</f>
        <v>2013 estimated expenditures show that at the end of this year</v>
      </c>
    </row>
    <row r="7" spans="1:7">
      <c r="A7" s="374" t="s">
        <v>476</v>
      </c>
    </row>
    <row r="8" spans="1:7">
      <c r="A8" s="374" t="s">
        <v>477</v>
      </c>
    </row>
    <row r="10" spans="1:7">
      <c r="A10" t="s">
        <v>386</v>
      </c>
    </row>
    <row r="11" spans="1:7">
      <c r="A11" t="s">
        <v>387</v>
      </c>
    </row>
    <row r="12" spans="1:7">
      <c r="A12" t="s">
        <v>388</v>
      </c>
    </row>
    <row r="13" spans="1:7">
      <c r="A13" s="373"/>
      <c r="B13" s="373"/>
      <c r="C13" s="373"/>
      <c r="D13" s="373"/>
      <c r="E13" s="373"/>
      <c r="F13" s="373"/>
      <c r="G13" s="373"/>
    </row>
    <row r="14" spans="1:7">
      <c r="A14" s="375" t="s">
        <v>478</v>
      </c>
    </row>
    <row r="15" spans="1:7">
      <c r="A15" s="374"/>
    </row>
    <row r="16" spans="1:7">
      <c r="A16" s="374" t="s">
        <v>479</v>
      </c>
    </row>
    <row r="17" spans="1:7">
      <c r="A17" s="374" t="s">
        <v>480</v>
      </c>
    </row>
    <row r="18" spans="1:7">
      <c r="A18" s="374" t="s">
        <v>481</v>
      </c>
    </row>
    <row r="19" spans="1:7">
      <c r="A19" s="374"/>
    </row>
    <row r="20" spans="1:7">
      <c r="A20" s="374" t="s">
        <v>482</v>
      </c>
    </row>
    <row r="21" spans="1:7">
      <c r="A21" s="374" t="s">
        <v>483</v>
      </c>
    </row>
    <row r="22" spans="1:7">
      <c r="A22" s="374" t="s">
        <v>484</v>
      </c>
    </row>
    <row r="23" spans="1:7">
      <c r="A23" s="374" t="s">
        <v>485</v>
      </c>
    </row>
    <row r="24" spans="1:7">
      <c r="A24" s="374"/>
    </row>
    <row r="25" spans="1:7">
      <c r="A25" s="375" t="s">
        <v>450</v>
      </c>
    </row>
    <row r="26" spans="1:7">
      <c r="A26" s="375"/>
    </row>
    <row r="27" spans="1:7">
      <c r="A27" s="374" t="s">
        <v>451</v>
      </c>
    </row>
    <row r="28" spans="1:7">
      <c r="A28" s="374" t="s">
        <v>452</v>
      </c>
      <c r="B28" s="374"/>
      <c r="C28" s="374"/>
      <c r="D28" s="374"/>
      <c r="E28" s="374"/>
      <c r="F28" s="374"/>
    </row>
    <row r="29" spans="1:7">
      <c r="A29" s="374" t="s">
        <v>453</v>
      </c>
      <c r="B29" s="374"/>
      <c r="C29" s="374"/>
      <c r="D29" s="374"/>
      <c r="E29" s="374"/>
      <c r="F29" s="374"/>
    </row>
    <row r="30" spans="1:7">
      <c r="A30" s="374" t="s">
        <v>454</v>
      </c>
      <c r="B30" s="374"/>
      <c r="C30" s="374"/>
      <c r="D30" s="374"/>
      <c r="E30" s="374"/>
      <c r="F30" s="374"/>
    </row>
    <row r="31" spans="1:7">
      <c r="A31" s="374"/>
    </row>
    <row r="32" spans="1:7">
      <c r="A32" s="375" t="s">
        <v>455</v>
      </c>
      <c r="B32" s="375"/>
      <c r="C32" s="375"/>
      <c r="D32" s="375"/>
      <c r="E32" s="375"/>
      <c r="F32" s="375"/>
      <c r="G32" s="375"/>
    </row>
    <row r="33" spans="1:7">
      <c r="A33" s="375" t="s">
        <v>456</v>
      </c>
      <c r="B33" s="375"/>
      <c r="C33" s="375"/>
      <c r="D33" s="375"/>
      <c r="E33" s="375"/>
      <c r="F33" s="375"/>
      <c r="G33" s="375"/>
    </row>
    <row r="34" spans="1:7">
      <c r="A34" s="375"/>
      <c r="B34" s="375"/>
      <c r="C34" s="375"/>
      <c r="D34" s="375"/>
      <c r="E34" s="375"/>
      <c r="F34" s="375"/>
      <c r="G34" s="375"/>
    </row>
    <row r="35" spans="1:7">
      <c r="A35" s="374" t="s">
        <v>486</v>
      </c>
      <c r="B35" s="374"/>
      <c r="C35" s="374"/>
      <c r="D35" s="374"/>
      <c r="E35" s="374"/>
      <c r="F35" s="374"/>
      <c r="G35" s="374"/>
    </row>
    <row r="36" spans="1:7">
      <c r="A36" s="374" t="s">
        <v>487</v>
      </c>
      <c r="B36" s="374"/>
      <c r="C36" s="374"/>
      <c r="D36" s="374"/>
      <c r="E36" s="374"/>
      <c r="F36" s="374"/>
      <c r="G36" s="374"/>
    </row>
    <row r="37" spans="1:7">
      <c r="A37" s="374" t="s">
        <v>488</v>
      </c>
      <c r="B37" s="374"/>
      <c r="C37" s="374"/>
      <c r="D37" s="374"/>
      <c r="E37" s="374"/>
      <c r="F37" s="374"/>
      <c r="G37" s="374"/>
    </row>
    <row r="38" spans="1:7">
      <c r="A38" s="374" t="s">
        <v>489</v>
      </c>
      <c r="B38" s="374"/>
      <c r="C38" s="374"/>
      <c r="D38" s="374"/>
      <c r="E38" s="374"/>
      <c r="F38" s="374"/>
      <c r="G38" s="374"/>
    </row>
    <row r="39" spans="1:7">
      <c r="A39" s="374" t="s">
        <v>490</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457</v>
      </c>
      <c r="B42" s="374"/>
      <c r="C42" s="374"/>
      <c r="D42" s="374"/>
      <c r="E42" s="374"/>
      <c r="F42" s="374"/>
    </row>
    <row r="43" spans="1:7">
      <c r="A43" s="366" t="s">
        <v>349</v>
      </c>
      <c r="B43" s="374"/>
      <c r="C43" s="374"/>
      <c r="D43" s="374"/>
      <c r="E43" s="374"/>
      <c r="F43" s="374"/>
    </row>
    <row r="44" spans="1:7">
      <c r="A44" s="366" t="s">
        <v>350</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351</v>
      </c>
      <c r="B47" s="374"/>
      <c r="C47" s="374"/>
      <c r="D47" s="374"/>
      <c r="E47" s="374"/>
      <c r="F47" s="374"/>
    </row>
    <row r="48" spans="1:7">
      <c r="A48" s="366" t="s">
        <v>352</v>
      </c>
      <c r="B48" s="374"/>
      <c r="C48" s="374"/>
      <c r="D48" s="374"/>
      <c r="E48" s="374"/>
      <c r="F48" s="374"/>
    </row>
    <row r="49" spans="1:7">
      <c r="A49" s="374"/>
      <c r="B49" s="374"/>
      <c r="C49" s="374"/>
      <c r="D49" s="374"/>
      <c r="E49" s="374"/>
      <c r="F49" s="374"/>
      <c r="G49" s="374"/>
    </row>
    <row r="50" spans="1:7">
      <c r="A50" s="374" t="s">
        <v>411</v>
      </c>
      <c r="B50" s="374"/>
      <c r="C50" s="374"/>
      <c r="D50" s="374"/>
      <c r="E50" s="374"/>
      <c r="F50" s="374"/>
      <c r="G50" s="374"/>
    </row>
    <row r="51" spans="1:7">
      <c r="A51" s="374" t="s">
        <v>412</v>
      </c>
      <c r="B51" s="374"/>
      <c r="C51" s="374"/>
      <c r="D51" s="374"/>
      <c r="E51" s="374"/>
      <c r="F51" s="374"/>
      <c r="G51" s="374"/>
    </row>
    <row r="52" spans="1:7">
      <c r="A52" s="374" t="s">
        <v>413</v>
      </c>
      <c r="B52" s="374"/>
      <c r="C52" s="374"/>
      <c r="D52" s="374"/>
      <c r="E52" s="374"/>
      <c r="F52" s="374"/>
      <c r="G52" s="374"/>
    </row>
    <row r="53" spans="1:7">
      <c r="A53" s="374" t="s">
        <v>414</v>
      </c>
      <c r="B53" s="374"/>
      <c r="C53" s="374"/>
      <c r="D53" s="374"/>
      <c r="E53" s="374"/>
      <c r="F53" s="374"/>
      <c r="G53" s="374"/>
    </row>
    <row r="54" spans="1:7">
      <c r="A54" s="374" t="s">
        <v>415</v>
      </c>
      <c r="B54" s="374"/>
      <c r="C54" s="374"/>
      <c r="D54" s="374"/>
      <c r="E54" s="374"/>
      <c r="F54" s="374"/>
      <c r="G54" s="374"/>
    </row>
    <row r="55" spans="1:7">
      <c r="A55" s="374"/>
      <c r="B55" s="374"/>
      <c r="C55" s="374"/>
      <c r="D55" s="374"/>
      <c r="E55" s="374"/>
      <c r="F55" s="374"/>
      <c r="G55" s="374"/>
    </row>
    <row r="56" spans="1:7">
      <c r="A56" s="366" t="s">
        <v>353</v>
      </c>
      <c r="B56" s="374"/>
      <c r="C56" s="374"/>
      <c r="D56" s="374"/>
      <c r="E56" s="374"/>
      <c r="F56" s="374"/>
    </row>
    <row r="57" spans="1:7">
      <c r="A57" s="366" t="s">
        <v>354</v>
      </c>
      <c r="B57" s="374"/>
      <c r="C57" s="374"/>
      <c r="D57" s="374"/>
      <c r="E57" s="374"/>
      <c r="F57" s="374"/>
    </row>
    <row r="58" spans="1:7">
      <c r="A58" s="366" t="s">
        <v>355</v>
      </c>
      <c r="B58" s="374"/>
      <c r="C58" s="374"/>
      <c r="D58" s="374"/>
      <c r="E58" s="374"/>
      <c r="F58" s="374"/>
    </row>
    <row r="59" spans="1:7">
      <c r="A59" s="366"/>
      <c r="B59" s="374"/>
      <c r="C59" s="374"/>
      <c r="D59" s="374"/>
      <c r="E59" s="374"/>
      <c r="F59" s="374"/>
    </row>
    <row r="60" spans="1:7">
      <c r="A60" s="374" t="s">
        <v>491</v>
      </c>
      <c r="B60" s="374"/>
      <c r="C60" s="374"/>
      <c r="D60" s="374"/>
      <c r="E60" s="374"/>
      <c r="F60" s="374"/>
      <c r="G60" s="374"/>
    </row>
    <row r="61" spans="1:7">
      <c r="A61" s="374" t="s">
        <v>492</v>
      </c>
      <c r="B61" s="374"/>
      <c r="C61" s="374"/>
      <c r="D61" s="374"/>
      <c r="E61" s="374"/>
      <c r="F61" s="374"/>
      <c r="G61" s="374"/>
    </row>
    <row r="62" spans="1:7">
      <c r="A62" s="374" t="s">
        <v>493</v>
      </c>
      <c r="B62" s="374"/>
      <c r="C62" s="374"/>
      <c r="D62" s="374"/>
      <c r="E62" s="374"/>
      <c r="F62" s="374"/>
      <c r="G62" s="374"/>
    </row>
    <row r="63" spans="1:7">
      <c r="A63" s="374" t="s">
        <v>494</v>
      </c>
      <c r="B63" s="374"/>
      <c r="C63" s="374"/>
      <c r="D63" s="374"/>
      <c r="E63" s="374"/>
      <c r="F63" s="374"/>
      <c r="G63" s="374"/>
    </row>
    <row r="64" spans="1:7">
      <c r="A64" s="374" t="s">
        <v>495</v>
      </c>
      <c r="B64" s="374"/>
      <c r="C64" s="374"/>
      <c r="D64" s="374"/>
      <c r="E64" s="374"/>
      <c r="F64" s="374"/>
      <c r="G64" s="374"/>
    </row>
    <row r="66" spans="1:6">
      <c r="A66" s="366" t="s">
        <v>458</v>
      </c>
      <c r="B66" s="374"/>
      <c r="C66" s="374"/>
      <c r="D66" s="374"/>
      <c r="E66" s="374"/>
      <c r="F66" s="374"/>
    </row>
    <row r="67" spans="1:6">
      <c r="A67" s="366" t="s">
        <v>459</v>
      </c>
      <c r="B67" s="374"/>
      <c r="C67" s="374"/>
      <c r="D67" s="374"/>
      <c r="E67" s="374"/>
      <c r="F67" s="374"/>
    </row>
    <row r="68" spans="1:6">
      <c r="A68" s="366" t="s">
        <v>460</v>
      </c>
      <c r="B68" s="374"/>
      <c r="C68" s="374"/>
      <c r="D68" s="374"/>
      <c r="E68" s="374"/>
      <c r="F68" s="374"/>
    </row>
    <row r="69" spans="1:6">
      <c r="A69" s="366" t="s">
        <v>461</v>
      </c>
      <c r="B69" s="374"/>
      <c r="C69" s="374"/>
      <c r="D69" s="374"/>
      <c r="E69" s="374"/>
      <c r="F69" s="374"/>
    </row>
    <row r="70" spans="1:6">
      <c r="A70" s="366" t="s">
        <v>462</v>
      </c>
      <c r="B70" s="374"/>
      <c r="C70" s="374"/>
      <c r="D70" s="374"/>
      <c r="E70" s="374"/>
      <c r="F70" s="374"/>
    </row>
    <row r="71" spans="1:6">
      <c r="A71" s="374"/>
    </row>
    <row r="72" spans="1:6">
      <c r="A72" s="374" t="s">
        <v>382</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496</v>
      </c>
      <c r="B3" s="373"/>
      <c r="C3" s="373"/>
      <c r="D3" s="373"/>
      <c r="E3" s="373"/>
      <c r="F3" s="373"/>
      <c r="G3" s="373"/>
    </row>
    <row r="4" spans="1:7">
      <c r="A4" s="373" t="s">
        <v>497</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335</v>
      </c>
    </row>
    <row r="8" spans="1:7">
      <c r="A8" s="374" t="str">
        <f>CONCATENATE("estimated ",inputPrYr!D6," 'total expenditures' exceed your ",inputPrYr!D6,"")</f>
        <v>estimated 2014 'total expenditures' exceed your 2014</v>
      </c>
    </row>
    <row r="9" spans="1:7">
      <c r="A9" s="377" t="s">
        <v>498</v>
      </c>
    </row>
    <row r="10" spans="1:7">
      <c r="A10" s="374"/>
    </row>
    <row r="11" spans="1:7">
      <c r="A11" s="374" t="s">
        <v>499</v>
      </c>
    </row>
    <row r="12" spans="1:7">
      <c r="A12" s="374" t="s">
        <v>500</v>
      </c>
    </row>
    <row r="13" spans="1:7">
      <c r="A13" s="374" t="s">
        <v>501</v>
      </c>
    </row>
    <row r="14" spans="1:7">
      <c r="A14" s="374"/>
    </row>
    <row r="15" spans="1:7">
      <c r="A15" s="375" t="s">
        <v>502</v>
      </c>
    </row>
    <row r="16" spans="1:7">
      <c r="A16" s="373"/>
      <c r="B16" s="373"/>
      <c r="C16" s="373"/>
      <c r="D16" s="373"/>
      <c r="E16" s="373"/>
      <c r="F16" s="373"/>
      <c r="G16" s="373"/>
    </row>
    <row r="17" spans="1:8">
      <c r="A17" s="378" t="s">
        <v>503</v>
      </c>
      <c r="B17" s="370"/>
      <c r="C17" s="370"/>
      <c r="D17" s="370"/>
      <c r="E17" s="370"/>
      <c r="F17" s="370"/>
      <c r="G17" s="370"/>
      <c r="H17" s="370"/>
    </row>
    <row r="18" spans="1:8">
      <c r="A18" s="374" t="s">
        <v>504</v>
      </c>
      <c r="B18" s="379"/>
      <c r="C18" s="379"/>
      <c r="D18" s="379"/>
      <c r="E18" s="379"/>
      <c r="F18" s="379"/>
      <c r="G18" s="379"/>
    </row>
    <row r="19" spans="1:8">
      <c r="A19" s="374" t="s">
        <v>505</v>
      </c>
    </row>
    <row r="20" spans="1:8">
      <c r="A20" s="374" t="s">
        <v>506</v>
      </c>
    </row>
    <row r="22" spans="1:8">
      <c r="A22" s="375" t="s">
        <v>507</v>
      </c>
    </row>
    <row r="24" spans="1:8">
      <c r="A24" s="374" t="s">
        <v>508</v>
      </c>
    </row>
    <row r="25" spans="1:8">
      <c r="A25" s="374" t="s">
        <v>509</v>
      </c>
    </row>
    <row r="26" spans="1:8">
      <c r="A26" s="374" t="s">
        <v>510</v>
      </c>
    </row>
    <row r="28" spans="1:8">
      <c r="A28" s="375" t="s">
        <v>511</v>
      </c>
    </row>
    <row r="30" spans="1:8">
      <c r="A30" t="s">
        <v>512</v>
      </c>
    </row>
    <row r="31" spans="1:8">
      <c r="A31" t="s">
        <v>513</v>
      </c>
    </row>
    <row r="32" spans="1:8">
      <c r="A32" t="s">
        <v>514</v>
      </c>
    </row>
    <row r="33" spans="1:1">
      <c r="A33" s="374" t="s">
        <v>515</v>
      </c>
    </row>
    <row r="35" spans="1:1">
      <c r="A35" t="s">
        <v>516</v>
      </c>
    </row>
    <row r="36" spans="1:1">
      <c r="A36" t="s">
        <v>517</v>
      </c>
    </row>
    <row r="37" spans="1:1">
      <c r="A37" t="s">
        <v>518</v>
      </c>
    </row>
    <row r="38" spans="1:1">
      <c r="A38" t="s">
        <v>519</v>
      </c>
    </row>
    <row r="40" spans="1:1">
      <c r="A40" t="s">
        <v>520</v>
      </c>
    </row>
    <row r="41" spans="1:1">
      <c r="A41" t="s">
        <v>521</v>
      </c>
    </row>
    <row r="42" spans="1:1">
      <c r="A42" t="s">
        <v>522</v>
      </c>
    </row>
    <row r="43" spans="1:1">
      <c r="A43" t="s">
        <v>523</v>
      </c>
    </row>
    <row r="44" spans="1:1">
      <c r="A44" t="s">
        <v>524</v>
      </c>
    </row>
    <row r="45" spans="1:1">
      <c r="A45" t="s">
        <v>525</v>
      </c>
    </row>
    <row r="47" spans="1:1">
      <c r="A47" t="s">
        <v>526</v>
      </c>
    </row>
    <row r="48" spans="1:1">
      <c r="A48" t="s">
        <v>527</v>
      </c>
    </row>
    <row r="49" spans="1:1">
      <c r="A49" s="374" t="s">
        <v>528</v>
      </c>
    </row>
    <row r="50" spans="1:1">
      <c r="A50" s="374" t="s">
        <v>529</v>
      </c>
    </row>
    <row r="52" spans="1:1">
      <c r="A52" t="s">
        <v>382</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7" t="s">
        <v>574</v>
      </c>
      <c r="C6" s="658"/>
      <c r="D6" s="658"/>
      <c r="E6" s="658"/>
      <c r="F6" s="658"/>
      <c r="G6" s="658"/>
      <c r="H6" s="658"/>
      <c r="I6" s="658"/>
      <c r="J6" s="658"/>
      <c r="K6" s="658"/>
      <c r="L6" s="430"/>
    </row>
    <row r="7" spans="1:12" ht="40.5" customHeight="1">
      <c r="A7" s="427"/>
      <c r="B7" s="659" t="s">
        <v>575</v>
      </c>
      <c r="C7" s="660"/>
      <c r="D7" s="660"/>
      <c r="E7" s="660"/>
      <c r="F7" s="660"/>
      <c r="G7" s="660"/>
      <c r="H7" s="660"/>
      <c r="I7" s="660"/>
      <c r="J7" s="660"/>
      <c r="K7" s="660"/>
      <c r="L7" s="427"/>
    </row>
    <row r="8" spans="1:12">
      <c r="A8" s="427"/>
      <c r="B8" s="661" t="s">
        <v>576</v>
      </c>
      <c r="C8" s="661"/>
      <c r="D8" s="661"/>
      <c r="E8" s="661"/>
      <c r="F8" s="661"/>
      <c r="G8" s="661"/>
      <c r="H8" s="661"/>
      <c r="I8" s="661"/>
      <c r="J8" s="661"/>
      <c r="K8" s="661"/>
      <c r="L8" s="427"/>
    </row>
    <row r="9" spans="1:12">
      <c r="A9" s="427"/>
      <c r="L9" s="427"/>
    </row>
    <row r="10" spans="1:12">
      <c r="A10" s="427"/>
      <c r="B10" s="661" t="s">
        <v>577</v>
      </c>
      <c r="C10" s="661"/>
      <c r="D10" s="661"/>
      <c r="E10" s="661"/>
      <c r="F10" s="661"/>
      <c r="G10" s="661"/>
      <c r="H10" s="661"/>
      <c r="I10" s="661"/>
      <c r="J10" s="661"/>
      <c r="K10" s="661"/>
      <c r="L10" s="427"/>
    </row>
    <row r="11" spans="1:12">
      <c r="A11" s="427"/>
      <c r="B11" s="431"/>
      <c r="C11" s="431"/>
      <c r="D11" s="431"/>
      <c r="E11" s="431"/>
      <c r="F11" s="431"/>
      <c r="G11" s="431"/>
      <c r="H11" s="431"/>
      <c r="I11" s="431"/>
      <c r="J11" s="431"/>
      <c r="K11" s="431"/>
      <c r="L11" s="427"/>
    </row>
    <row r="12" spans="1:12" ht="32.25" customHeight="1">
      <c r="A12" s="427"/>
      <c r="B12" s="662" t="s">
        <v>578</v>
      </c>
      <c r="C12" s="662"/>
      <c r="D12" s="662"/>
      <c r="E12" s="662"/>
      <c r="F12" s="662"/>
      <c r="G12" s="662"/>
      <c r="H12" s="662"/>
      <c r="I12" s="662"/>
      <c r="J12" s="662"/>
      <c r="K12" s="662"/>
      <c r="L12" s="427"/>
    </row>
    <row r="13" spans="1:12">
      <c r="A13" s="427"/>
      <c r="L13" s="427"/>
    </row>
    <row r="14" spans="1:12">
      <c r="A14" s="427"/>
      <c r="B14" s="432" t="s">
        <v>579</v>
      </c>
      <c r="L14" s="427"/>
    </row>
    <row r="15" spans="1:12">
      <c r="A15" s="427"/>
      <c r="L15" s="427"/>
    </row>
    <row r="16" spans="1:12">
      <c r="A16" s="427"/>
      <c r="B16" s="429" t="s">
        <v>580</v>
      </c>
      <c r="L16" s="427"/>
    </row>
    <row r="17" spans="1:12">
      <c r="A17" s="427"/>
      <c r="B17" s="429" t="s">
        <v>581</v>
      </c>
      <c r="L17" s="427"/>
    </row>
    <row r="18" spans="1:12">
      <c r="A18" s="427"/>
      <c r="L18" s="427"/>
    </row>
    <row r="19" spans="1:12">
      <c r="A19" s="427"/>
      <c r="B19" s="432" t="s">
        <v>582</v>
      </c>
      <c r="L19" s="427"/>
    </row>
    <row r="20" spans="1:12">
      <c r="A20" s="427"/>
      <c r="B20" s="432"/>
      <c r="L20" s="427"/>
    </row>
    <row r="21" spans="1:12">
      <c r="A21" s="427"/>
      <c r="B21" s="429" t="s">
        <v>583</v>
      </c>
      <c r="L21" s="427"/>
    </row>
    <row r="22" spans="1:12">
      <c r="A22" s="427"/>
      <c r="L22" s="427"/>
    </row>
    <row r="23" spans="1:12">
      <c r="A23" s="427"/>
      <c r="B23" s="429" t="s">
        <v>584</v>
      </c>
      <c r="E23" s="429" t="s">
        <v>585</v>
      </c>
      <c r="F23" s="656">
        <v>133685008</v>
      </c>
      <c r="G23" s="656"/>
      <c r="L23" s="427"/>
    </row>
    <row r="24" spans="1:12">
      <c r="A24" s="427"/>
      <c r="L24" s="427"/>
    </row>
    <row r="25" spans="1:12">
      <c r="A25" s="427"/>
      <c r="C25" s="663">
        <f>F23</f>
        <v>133685008</v>
      </c>
      <c r="D25" s="663"/>
      <c r="E25" s="429" t="s">
        <v>586</v>
      </c>
      <c r="F25" s="433">
        <v>1000</v>
      </c>
      <c r="G25" s="433" t="s">
        <v>585</v>
      </c>
      <c r="H25" s="434">
        <f>F23/F25</f>
        <v>133685.008</v>
      </c>
      <c r="L25" s="427"/>
    </row>
    <row r="26" spans="1:12" ht="15" thickBot="1">
      <c r="A26" s="427"/>
      <c r="L26" s="427"/>
    </row>
    <row r="27" spans="1:12">
      <c r="A27" s="427"/>
      <c r="B27" s="435" t="s">
        <v>579</v>
      </c>
      <c r="C27" s="436"/>
      <c r="D27" s="436"/>
      <c r="E27" s="436"/>
      <c r="F27" s="436"/>
      <c r="G27" s="436"/>
      <c r="H27" s="436"/>
      <c r="I27" s="436"/>
      <c r="J27" s="436"/>
      <c r="K27" s="437"/>
      <c r="L27" s="427"/>
    </row>
    <row r="28" spans="1:12">
      <c r="A28" s="427"/>
      <c r="B28" s="438">
        <f>F23</f>
        <v>133685008</v>
      </c>
      <c r="C28" s="439" t="s">
        <v>587</v>
      </c>
      <c r="D28" s="439"/>
      <c r="E28" s="439" t="s">
        <v>586</v>
      </c>
      <c r="F28" s="440">
        <v>1000</v>
      </c>
      <c r="G28" s="440" t="s">
        <v>585</v>
      </c>
      <c r="H28" s="441">
        <f>B28/F28</f>
        <v>133685.008</v>
      </c>
      <c r="I28" s="439" t="s">
        <v>588</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64" t="s">
        <v>575</v>
      </c>
      <c r="C30" s="664"/>
      <c r="D30" s="664"/>
      <c r="E30" s="664"/>
      <c r="F30" s="664"/>
      <c r="G30" s="664"/>
      <c r="H30" s="664"/>
      <c r="I30" s="664"/>
      <c r="J30" s="664"/>
      <c r="K30" s="664"/>
      <c r="L30" s="427"/>
    </row>
    <row r="31" spans="1:12">
      <c r="A31" s="427"/>
      <c r="B31" s="661" t="s">
        <v>589</v>
      </c>
      <c r="C31" s="661"/>
      <c r="D31" s="661"/>
      <c r="E31" s="661"/>
      <c r="F31" s="661"/>
      <c r="G31" s="661"/>
      <c r="H31" s="661"/>
      <c r="I31" s="661"/>
      <c r="J31" s="661"/>
      <c r="K31" s="661"/>
      <c r="L31" s="427"/>
    </row>
    <row r="32" spans="1:12">
      <c r="A32" s="427"/>
      <c r="L32" s="427"/>
    </row>
    <row r="33" spans="1:12">
      <c r="A33" s="427"/>
      <c r="B33" s="661" t="s">
        <v>590</v>
      </c>
      <c r="C33" s="661"/>
      <c r="D33" s="661"/>
      <c r="E33" s="661"/>
      <c r="F33" s="661"/>
      <c r="G33" s="661"/>
      <c r="H33" s="661"/>
      <c r="I33" s="661"/>
      <c r="J33" s="661"/>
      <c r="K33" s="661"/>
      <c r="L33" s="427"/>
    </row>
    <row r="34" spans="1:12">
      <c r="A34" s="427"/>
      <c r="L34" s="427"/>
    </row>
    <row r="35" spans="1:12" ht="89.25" customHeight="1">
      <c r="A35" s="427"/>
      <c r="B35" s="662" t="s">
        <v>591</v>
      </c>
      <c r="C35" s="665"/>
      <c r="D35" s="665"/>
      <c r="E35" s="665"/>
      <c r="F35" s="665"/>
      <c r="G35" s="665"/>
      <c r="H35" s="665"/>
      <c r="I35" s="665"/>
      <c r="J35" s="665"/>
      <c r="K35" s="665"/>
      <c r="L35" s="427"/>
    </row>
    <row r="36" spans="1:12">
      <c r="A36" s="427"/>
      <c r="L36" s="427"/>
    </row>
    <row r="37" spans="1:12">
      <c r="A37" s="427"/>
      <c r="B37" s="432" t="s">
        <v>592</v>
      </c>
      <c r="L37" s="427"/>
    </row>
    <row r="38" spans="1:12">
      <c r="A38" s="427"/>
      <c r="L38" s="427"/>
    </row>
    <row r="39" spans="1:12">
      <c r="A39" s="427"/>
      <c r="B39" s="429" t="s">
        <v>593</v>
      </c>
      <c r="L39" s="427"/>
    </row>
    <row r="40" spans="1:12">
      <c r="A40" s="427"/>
      <c r="L40" s="427"/>
    </row>
    <row r="41" spans="1:12">
      <c r="A41" s="427"/>
      <c r="C41" s="666">
        <v>3120000</v>
      </c>
      <c r="D41" s="666"/>
      <c r="E41" s="429" t="s">
        <v>586</v>
      </c>
      <c r="F41" s="433">
        <v>1000</v>
      </c>
      <c r="G41" s="433" t="s">
        <v>585</v>
      </c>
      <c r="H41" s="446">
        <f>C41/F41</f>
        <v>3120</v>
      </c>
      <c r="L41" s="427"/>
    </row>
    <row r="42" spans="1:12">
      <c r="A42" s="427"/>
      <c r="L42" s="427"/>
    </row>
    <row r="43" spans="1:12">
      <c r="A43" s="427"/>
      <c r="B43" s="429" t="s">
        <v>594</v>
      </c>
      <c r="L43" s="427"/>
    </row>
    <row r="44" spans="1:12">
      <c r="A44" s="427"/>
      <c r="L44" s="427"/>
    </row>
    <row r="45" spans="1:12">
      <c r="A45" s="427"/>
      <c r="B45" s="429" t="s">
        <v>595</v>
      </c>
      <c r="L45" s="427"/>
    </row>
    <row r="46" spans="1:12" ht="15" thickBot="1">
      <c r="A46" s="427"/>
      <c r="L46" s="427"/>
    </row>
    <row r="47" spans="1:12">
      <c r="A47" s="427"/>
      <c r="B47" s="447" t="s">
        <v>579</v>
      </c>
      <c r="C47" s="436"/>
      <c r="D47" s="436"/>
      <c r="E47" s="436"/>
      <c r="F47" s="436"/>
      <c r="G47" s="436"/>
      <c r="H47" s="436"/>
      <c r="I47" s="436"/>
      <c r="J47" s="436"/>
      <c r="K47" s="437"/>
      <c r="L47" s="427"/>
    </row>
    <row r="48" spans="1:12">
      <c r="A48" s="427"/>
      <c r="B48" s="656">
        <v>133685008</v>
      </c>
      <c r="C48" s="656"/>
      <c r="D48" s="439" t="s">
        <v>596</v>
      </c>
      <c r="E48" s="439" t="s">
        <v>586</v>
      </c>
      <c r="F48" s="440">
        <v>1000</v>
      </c>
      <c r="G48" s="440" t="s">
        <v>585</v>
      </c>
      <c r="H48" s="441">
        <f>B48/F48</f>
        <v>133685.008</v>
      </c>
      <c r="I48" s="439" t="s">
        <v>597</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598</v>
      </c>
      <c r="D50" s="439"/>
      <c r="E50" s="439" t="s">
        <v>586</v>
      </c>
      <c r="F50" s="441">
        <f>H48</f>
        <v>133685.008</v>
      </c>
      <c r="G50" s="667" t="s">
        <v>599</v>
      </c>
      <c r="H50" s="668"/>
      <c r="I50" s="440" t="s">
        <v>585</v>
      </c>
      <c r="J50" s="450">
        <f>B50/F50</f>
        <v>52.869002334203401</v>
      </c>
      <c r="K50" s="442"/>
      <c r="L50" s="427"/>
    </row>
    <row r="51" spans="1:24" ht="15" thickBot="1">
      <c r="A51" s="427"/>
      <c r="B51" s="443"/>
      <c r="C51" s="444"/>
      <c r="D51" s="444"/>
      <c r="E51" s="444"/>
      <c r="F51" s="444"/>
      <c r="G51" s="444"/>
      <c r="H51" s="444"/>
      <c r="I51" s="669" t="s">
        <v>600</v>
      </c>
      <c r="J51" s="669"/>
      <c r="K51" s="670"/>
      <c r="L51" s="427"/>
      <c r="O51" s="451"/>
    </row>
    <row r="52" spans="1:24" ht="40.5" customHeight="1">
      <c r="A52" s="427"/>
      <c r="B52" s="664" t="s">
        <v>575</v>
      </c>
      <c r="C52" s="664"/>
      <c r="D52" s="664"/>
      <c r="E52" s="664"/>
      <c r="F52" s="664"/>
      <c r="G52" s="664"/>
      <c r="H52" s="664"/>
      <c r="I52" s="664"/>
      <c r="J52" s="664"/>
      <c r="K52" s="664"/>
      <c r="L52" s="427"/>
    </row>
    <row r="53" spans="1:24">
      <c r="A53" s="427"/>
      <c r="B53" s="661" t="s">
        <v>601</v>
      </c>
      <c r="C53" s="661"/>
      <c r="D53" s="661"/>
      <c r="E53" s="661"/>
      <c r="F53" s="661"/>
      <c r="G53" s="661"/>
      <c r="H53" s="661"/>
      <c r="I53" s="661"/>
      <c r="J53" s="661"/>
      <c r="K53" s="661"/>
      <c r="L53" s="427"/>
    </row>
    <row r="54" spans="1:24">
      <c r="A54" s="427"/>
      <c r="B54" s="431"/>
      <c r="C54" s="431"/>
      <c r="D54" s="431"/>
      <c r="E54" s="431"/>
      <c r="F54" s="431"/>
      <c r="G54" s="431"/>
      <c r="H54" s="431"/>
      <c r="I54" s="431"/>
      <c r="J54" s="431"/>
      <c r="K54" s="431"/>
      <c r="L54" s="427"/>
    </row>
    <row r="55" spans="1:24">
      <c r="A55" s="427"/>
      <c r="B55" s="657" t="s">
        <v>602</v>
      </c>
      <c r="C55" s="657"/>
      <c r="D55" s="657"/>
      <c r="E55" s="657"/>
      <c r="F55" s="657"/>
      <c r="G55" s="657"/>
      <c r="H55" s="657"/>
      <c r="I55" s="657"/>
      <c r="J55" s="657"/>
      <c r="K55" s="657"/>
      <c r="L55" s="427"/>
    </row>
    <row r="56" spans="1:24" ht="15" customHeight="1">
      <c r="A56" s="427"/>
      <c r="L56" s="427"/>
    </row>
    <row r="57" spans="1:24" ht="74.25" customHeight="1">
      <c r="A57" s="427"/>
      <c r="B57" s="662" t="s">
        <v>603</v>
      </c>
      <c r="C57" s="665"/>
      <c r="D57" s="665"/>
      <c r="E57" s="665"/>
      <c r="F57" s="665"/>
      <c r="G57" s="665"/>
      <c r="H57" s="665"/>
      <c r="I57" s="665"/>
      <c r="J57" s="665"/>
      <c r="K57" s="665"/>
      <c r="L57" s="427"/>
      <c r="M57" s="452"/>
      <c r="N57" s="453"/>
      <c r="O57" s="453"/>
      <c r="P57" s="453"/>
      <c r="Q57" s="453"/>
      <c r="R57" s="453"/>
      <c r="S57" s="453"/>
      <c r="T57" s="453"/>
      <c r="U57" s="453"/>
      <c r="V57" s="453"/>
      <c r="W57" s="453"/>
      <c r="X57" s="453"/>
    </row>
    <row r="58" spans="1:24" ht="15" customHeight="1">
      <c r="A58" s="427"/>
      <c r="B58" s="662"/>
      <c r="C58" s="665"/>
      <c r="D58" s="665"/>
      <c r="E58" s="665"/>
      <c r="F58" s="665"/>
      <c r="G58" s="665"/>
      <c r="H58" s="665"/>
      <c r="I58" s="665"/>
      <c r="J58" s="665"/>
      <c r="K58" s="665"/>
      <c r="L58" s="427"/>
      <c r="M58" s="452"/>
      <c r="N58" s="453"/>
      <c r="O58" s="453"/>
      <c r="P58" s="453"/>
      <c r="Q58" s="453"/>
      <c r="R58" s="453"/>
      <c r="S58" s="453"/>
      <c r="T58" s="453"/>
      <c r="U58" s="453"/>
      <c r="V58" s="453"/>
      <c r="W58" s="453"/>
      <c r="X58" s="453"/>
    </row>
    <row r="59" spans="1:24">
      <c r="A59" s="427"/>
      <c r="B59" s="432" t="s">
        <v>592</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604</v>
      </c>
      <c r="L61" s="427"/>
      <c r="M61" s="453"/>
      <c r="N61" s="453"/>
      <c r="O61" s="453"/>
      <c r="P61" s="453"/>
      <c r="Q61" s="453"/>
      <c r="R61" s="453"/>
      <c r="S61" s="453"/>
      <c r="T61" s="453"/>
      <c r="U61" s="453"/>
      <c r="V61" s="453"/>
      <c r="W61" s="453"/>
      <c r="X61" s="453"/>
    </row>
    <row r="62" spans="1:24">
      <c r="A62" s="427"/>
      <c r="B62" s="429" t="s">
        <v>605</v>
      </c>
      <c r="L62" s="427"/>
      <c r="M62" s="453"/>
      <c r="N62" s="453"/>
      <c r="O62" s="453"/>
      <c r="P62" s="453"/>
      <c r="Q62" s="453"/>
      <c r="R62" s="453"/>
      <c r="S62" s="453"/>
      <c r="T62" s="453"/>
      <c r="U62" s="453"/>
      <c r="V62" s="453"/>
      <c r="W62" s="453"/>
      <c r="X62" s="453"/>
    </row>
    <row r="63" spans="1:24">
      <c r="A63" s="427"/>
      <c r="B63" s="429" t="s">
        <v>606</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607</v>
      </c>
      <c r="L65" s="427"/>
      <c r="M65" s="453"/>
      <c r="N65" s="453"/>
      <c r="O65" s="453"/>
      <c r="P65" s="453"/>
      <c r="Q65" s="453"/>
      <c r="R65" s="453"/>
      <c r="S65" s="453"/>
      <c r="T65" s="453"/>
      <c r="U65" s="453"/>
      <c r="V65" s="453"/>
      <c r="W65" s="453"/>
      <c r="X65" s="453"/>
    </row>
    <row r="66" spans="1:24">
      <c r="A66" s="427"/>
      <c r="B66" s="429" t="s">
        <v>608</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609</v>
      </c>
      <c r="L68" s="427"/>
      <c r="M68" s="454"/>
      <c r="N68" s="455"/>
      <c r="O68" s="455"/>
      <c r="P68" s="455"/>
      <c r="Q68" s="455"/>
      <c r="R68" s="455"/>
      <c r="S68" s="455"/>
      <c r="T68" s="455"/>
      <c r="U68" s="455"/>
      <c r="V68" s="455"/>
      <c r="W68" s="455"/>
      <c r="X68" s="453"/>
    </row>
    <row r="69" spans="1:24">
      <c r="A69" s="427"/>
      <c r="B69" s="429" t="s">
        <v>610</v>
      </c>
      <c r="L69" s="427"/>
      <c r="M69" s="453"/>
      <c r="N69" s="453"/>
      <c r="O69" s="453"/>
      <c r="P69" s="453"/>
      <c r="Q69" s="453"/>
      <c r="R69" s="453"/>
      <c r="S69" s="453"/>
      <c r="T69" s="453"/>
      <c r="U69" s="453"/>
      <c r="V69" s="453"/>
      <c r="W69" s="453"/>
      <c r="X69" s="453"/>
    </row>
    <row r="70" spans="1:24">
      <c r="A70" s="427"/>
      <c r="B70" s="429" t="s">
        <v>611</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579</v>
      </c>
      <c r="C72" s="436"/>
      <c r="D72" s="436"/>
      <c r="E72" s="436"/>
      <c r="F72" s="436"/>
      <c r="G72" s="436"/>
      <c r="H72" s="436"/>
      <c r="I72" s="436"/>
      <c r="J72" s="436"/>
      <c r="K72" s="437"/>
      <c r="L72" s="456"/>
    </row>
    <row r="73" spans="1:24">
      <c r="A73" s="427"/>
      <c r="B73" s="448"/>
      <c r="C73" s="439" t="s">
        <v>587</v>
      </c>
      <c r="D73" s="439"/>
      <c r="E73" s="439"/>
      <c r="F73" s="439"/>
      <c r="G73" s="439"/>
      <c r="H73" s="439"/>
      <c r="I73" s="439"/>
      <c r="J73" s="439"/>
      <c r="K73" s="442"/>
      <c r="L73" s="456"/>
    </row>
    <row r="74" spans="1:24">
      <c r="A74" s="427"/>
      <c r="B74" s="448" t="s">
        <v>612</v>
      </c>
      <c r="C74" s="656">
        <v>133685008</v>
      </c>
      <c r="D74" s="656"/>
      <c r="E74" s="440" t="s">
        <v>586</v>
      </c>
      <c r="F74" s="440">
        <v>1000</v>
      </c>
      <c r="G74" s="440" t="s">
        <v>585</v>
      </c>
      <c r="H74" s="457">
        <f>C74/F74</f>
        <v>133685.008</v>
      </c>
      <c r="I74" s="439" t="s">
        <v>613</v>
      </c>
      <c r="J74" s="439"/>
      <c r="K74" s="442"/>
      <c r="L74" s="456"/>
    </row>
    <row r="75" spans="1:24">
      <c r="A75" s="427"/>
      <c r="B75" s="448"/>
      <c r="C75" s="439"/>
      <c r="D75" s="439"/>
      <c r="E75" s="440"/>
      <c r="F75" s="439"/>
      <c r="G75" s="439"/>
      <c r="H75" s="439"/>
      <c r="I75" s="439"/>
      <c r="J75" s="439"/>
      <c r="K75" s="442"/>
      <c r="L75" s="456"/>
    </row>
    <row r="76" spans="1:24">
      <c r="A76" s="427"/>
      <c r="B76" s="448"/>
      <c r="C76" s="439" t="s">
        <v>614</v>
      </c>
      <c r="D76" s="439"/>
      <c r="E76" s="440"/>
      <c r="F76" s="439" t="s">
        <v>613</v>
      </c>
      <c r="G76" s="439"/>
      <c r="H76" s="439"/>
      <c r="I76" s="439"/>
      <c r="J76" s="439"/>
      <c r="K76" s="442"/>
      <c r="L76" s="456"/>
    </row>
    <row r="77" spans="1:24">
      <c r="A77" s="427"/>
      <c r="B77" s="448" t="s">
        <v>615</v>
      </c>
      <c r="C77" s="656">
        <v>5000</v>
      </c>
      <c r="D77" s="656"/>
      <c r="E77" s="440" t="s">
        <v>586</v>
      </c>
      <c r="F77" s="457">
        <f>H74</f>
        <v>133685.008</v>
      </c>
      <c r="G77" s="440" t="s">
        <v>585</v>
      </c>
      <c r="H77" s="450">
        <f>C77/F77</f>
        <v>3.740135169083432E-2</v>
      </c>
      <c r="I77" s="439" t="s">
        <v>616</v>
      </c>
      <c r="J77" s="439"/>
      <c r="K77" s="442"/>
      <c r="L77" s="456"/>
    </row>
    <row r="78" spans="1:24">
      <c r="A78" s="427"/>
      <c r="B78" s="448"/>
      <c r="C78" s="439"/>
      <c r="D78" s="439"/>
      <c r="E78" s="440"/>
      <c r="F78" s="439"/>
      <c r="G78" s="439"/>
      <c r="H78" s="439"/>
      <c r="I78" s="439"/>
      <c r="J78" s="439"/>
      <c r="K78" s="442"/>
      <c r="L78" s="456"/>
    </row>
    <row r="79" spans="1:24">
      <c r="A79" s="427"/>
      <c r="B79" s="458"/>
      <c r="C79" s="459" t="s">
        <v>617</v>
      </c>
      <c r="D79" s="459"/>
      <c r="E79" s="460"/>
      <c r="F79" s="459"/>
      <c r="G79" s="459"/>
      <c r="H79" s="459"/>
      <c r="I79" s="459"/>
      <c r="J79" s="459"/>
      <c r="K79" s="461"/>
      <c r="L79" s="456"/>
    </row>
    <row r="80" spans="1:24">
      <c r="A80" s="427"/>
      <c r="B80" s="448" t="s">
        <v>618</v>
      </c>
      <c r="C80" s="656">
        <v>100000</v>
      </c>
      <c r="D80" s="656"/>
      <c r="E80" s="440" t="s">
        <v>28</v>
      </c>
      <c r="F80" s="440">
        <v>0.115</v>
      </c>
      <c r="G80" s="440" t="s">
        <v>585</v>
      </c>
      <c r="H80" s="457">
        <f>C80*F80</f>
        <v>11500</v>
      </c>
      <c r="I80" s="439" t="s">
        <v>619</v>
      </c>
      <c r="J80" s="439"/>
      <c r="K80" s="442"/>
      <c r="L80" s="456"/>
    </row>
    <row r="81" spans="1:12">
      <c r="A81" s="427"/>
      <c r="B81" s="448"/>
      <c r="C81" s="439"/>
      <c r="D81" s="439"/>
      <c r="E81" s="440"/>
      <c r="F81" s="439"/>
      <c r="G81" s="439"/>
      <c r="H81" s="439"/>
      <c r="I81" s="439"/>
      <c r="J81" s="439"/>
      <c r="K81" s="442"/>
      <c r="L81" s="456"/>
    </row>
    <row r="82" spans="1:12">
      <c r="A82" s="427"/>
      <c r="B82" s="458"/>
      <c r="C82" s="459" t="s">
        <v>620</v>
      </c>
      <c r="D82" s="459"/>
      <c r="E82" s="460"/>
      <c r="F82" s="459" t="s">
        <v>616</v>
      </c>
      <c r="G82" s="459"/>
      <c r="H82" s="459"/>
      <c r="I82" s="459"/>
      <c r="J82" s="459" t="s">
        <v>621</v>
      </c>
      <c r="K82" s="461"/>
      <c r="L82" s="456"/>
    </row>
    <row r="83" spans="1:12">
      <c r="A83" s="427"/>
      <c r="B83" s="448" t="s">
        <v>622</v>
      </c>
      <c r="C83" s="671">
        <f>H80</f>
        <v>11500</v>
      </c>
      <c r="D83" s="671"/>
      <c r="E83" s="440" t="s">
        <v>28</v>
      </c>
      <c r="F83" s="450">
        <f>H77</f>
        <v>3.740135169083432E-2</v>
      </c>
      <c r="G83" s="440" t="s">
        <v>586</v>
      </c>
      <c r="H83" s="440">
        <v>1000</v>
      </c>
      <c r="I83" s="440" t="s">
        <v>585</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64" t="s">
        <v>575</v>
      </c>
      <c r="C85" s="664"/>
      <c r="D85" s="664"/>
      <c r="E85" s="664"/>
      <c r="F85" s="664"/>
      <c r="G85" s="664"/>
      <c r="H85" s="664"/>
      <c r="I85" s="664"/>
      <c r="J85" s="664"/>
      <c r="K85" s="664"/>
      <c r="L85" s="427"/>
    </row>
    <row r="86" spans="1:12">
      <c r="A86" s="427"/>
      <c r="B86" s="657" t="s">
        <v>623</v>
      </c>
      <c r="C86" s="657"/>
      <c r="D86" s="657"/>
      <c r="E86" s="657"/>
      <c r="F86" s="657"/>
      <c r="G86" s="657"/>
      <c r="H86" s="657"/>
      <c r="I86" s="657"/>
      <c r="J86" s="657"/>
      <c r="K86" s="657"/>
      <c r="L86" s="427"/>
    </row>
    <row r="87" spans="1:12">
      <c r="A87" s="427"/>
      <c r="B87" s="467"/>
      <c r="C87" s="467"/>
      <c r="D87" s="467"/>
      <c r="E87" s="467"/>
      <c r="F87" s="467"/>
      <c r="G87" s="467"/>
      <c r="H87" s="467"/>
      <c r="I87" s="467"/>
      <c r="J87" s="467"/>
      <c r="K87" s="467"/>
      <c r="L87" s="427"/>
    </row>
    <row r="88" spans="1:12">
      <c r="A88" s="427"/>
      <c r="B88" s="657" t="s">
        <v>624</v>
      </c>
      <c r="C88" s="657"/>
      <c r="D88" s="657"/>
      <c r="E88" s="657"/>
      <c r="F88" s="657"/>
      <c r="G88" s="657"/>
      <c r="H88" s="657"/>
      <c r="I88" s="657"/>
      <c r="J88" s="657"/>
      <c r="K88" s="657"/>
      <c r="L88" s="427"/>
    </row>
    <row r="89" spans="1:12">
      <c r="A89" s="427"/>
      <c r="B89" s="468"/>
      <c r="C89" s="468"/>
      <c r="D89" s="468"/>
      <c r="E89" s="468"/>
      <c r="F89" s="468"/>
      <c r="G89" s="468"/>
      <c r="H89" s="468"/>
      <c r="I89" s="468"/>
      <c r="J89" s="468"/>
      <c r="K89" s="468"/>
      <c r="L89" s="427"/>
    </row>
    <row r="90" spans="1:12" ht="45" customHeight="1">
      <c r="A90" s="427"/>
      <c r="B90" s="662" t="s">
        <v>625</v>
      </c>
      <c r="C90" s="662"/>
      <c r="D90" s="662"/>
      <c r="E90" s="662"/>
      <c r="F90" s="662"/>
      <c r="G90" s="662"/>
      <c r="H90" s="662"/>
      <c r="I90" s="662"/>
      <c r="J90" s="662"/>
      <c r="K90" s="662"/>
      <c r="L90" s="427"/>
    </row>
    <row r="91" spans="1:12" ht="15" customHeight="1" thickBot="1">
      <c r="A91" s="427"/>
      <c r="L91" s="427"/>
    </row>
    <row r="92" spans="1:12" ht="15" customHeight="1">
      <c r="A92" s="427"/>
      <c r="B92" s="469" t="s">
        <v>579</v>
      </c>
      <c r="C92" s="470"/>
      <c r="D92" s="470"/>
      <c r="E92" s="470"/>
      <c r="F92" s="470"/>
      <c r="G92" s="470"/>
      <c r="H92" s="470"/>
      <c r="I92" s="470"/>
      <c r="J92" s="470"/>
      <c r="K92" s="471"/>
      <c r="L92" s="427"/>
    </row>
    <row r="93" spans="1:12" ht="15" customHeight="1">
      <c r="A93" s="427"/>
      <c r="B93" s="472"/>
      <c r="C93" s="473" t="s">
        <v>587</v>
      </c>
      <c r="D93" s="473"/>
      <c r="E93" s="473"/>
      <c r="F93" s="473"/>
      <c r="G93" s="473"/>
      <c r="H93" s="473"/>
      <c r="I93" s="473"/>
      <c r="J93" s="473"/>
      <c r="K93" s="474"/>
      <c r="L93" s="427"/>
    </row>
    <row r="94" spans="1:12" ht="15" customHeight="1">
      <c r="A94" s="427"/>
      <c r="B94" s="472" t="s">
        <v>612</v>
      </c>
      <c r="C94" s="656">
        <v>133685008</v>
      </c>
      <c r="D94" s="656"/>
      <c r="E94" s="440" t="s">
        <v>586</v>
      </c>
      <c r="F94" s="440">
        <v>1000</v>
      </c>
      <c r="G94" s="440" t="s">
        <v>585</v>
      </c>
      <c r="H94" s="457">
        <f>C94/F94</f>
        <v>133685.008</v>
      </c>
      <c r="I94" s="473" t="s">
        <v>613</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614</v>
      </c>
      <c r="D96" s="473"/>
      <c r="E96" s="440"/>
      <c r="F96" s="473" t="s">
        <v>613</v>
      </c>
      <c r="G96" s="473"/>
      <c r="H96" s="473"/>
      <c r="I96" s="473"/>
      <c r="J96" s="473"/>
      <c r="K96" s="474"/>
      <c r="L96" s="427"/>
    </row>
    <row r="97" spans="1:12" ht="15" customHeight="1">
      <c r="A97" s="427"/>
      <c r="B97" s="472" t="s">
        <v>615</v>
      </c>
      <c r="C97" s="656">
        <v>50000</v>
      </c>
      <c r="D97" s="656"/>
      <c r="E97" s="440" t="s">
        <v>586</v>
      </c>
      <c r="F97" s="457">
        <f>H94</f>
        <v>133685.008</v>
      </c>
      <c r="G97" s="440" t="s">
        <v>585</v>
      </c>
      <c r="H97" s="450">
        <f>C97/F97</f>
        <v>0.37401351690834322</v>
      </c>
      <c r="I97" s="473" t="s">
        <v>616</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626</v>
      </c>
      <c r="D99" s="476"/>
      <c r="E99" s="460"/>
      <c r="F99" s="476"/>
      <c r="G99" s="476"/>
      <c r="H99" s="476"/>
      <c r="I99" s="476"/>
      <c r="J99" s="476"/>
      <c r="K99" s="477"/>
      <c r="L99" s="427"/>
    </row>
    <row r="100" spans="1:12" ht="15" customHeight="1">
      <c r="A100" s="427"/>
      <c r="B100" s="472" t="s">
        <v>618</v>
      </c>
      <c r="C100" s="656">
        <v>2500000</v>
      </c>
      <c r="D100" s="656"/>
      <c r="E100" s="440" t="s">
        <v>28</v>
      </c>
      <c r="F100" s="478">
        <v>0.3</v>
      </c>
      <c r="G100" s="440" t="s">
        <v>585</v>
      </c>
      <c r="H100" s="457">
        <f>C100*F100</f>
        <v>750000</v>
      </c>
      <c r="I100" s="473" t="s">
        <v>619</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620</v>
      </c>
      <c r="D102" s="476"/>
      <c r="E102" s="460"/>
      <c r="F102" s="476" t="s">
        <v>616</v>
      </c>
      <c r="G102" s="476"/>
      <c r="H102" s="476"/>
      <c r="I102" s="476"/>
      <c r="J102" s="476" t="s">
        <v>621</v>
      </c>
      <c r="K102" s="477"/>
      <c r="L102" s="427"/>
    </row>
    <row r="103" spans="1:12" ht="15" customHeight="1">
      <c r="A103" s="427"/>
      <c r="B103" s="472" t="s">
        <v>622</v>
      </c>
      <c r="C103" s="671">
        <f>H100</f>
        <v>750000</v>
      </c>
      <c r="D103" s="671"/>
      <c r="E103" s="440" t="s">
        <v>28</v>
      </c>
      <c r="F103" s="450">
        <f>H97</f>
        <v>0.37401351690834322</v>
      </c>
      <c r="G103" s="440" t="s">
        <v>586</v>
      </c>
      <c r="H103" s="440">
        <v>1000</v>
      </c>
      <c r="I103" s="440" t="s">
        <v>585</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64" t="s">
        <v>575</v>
      </c>
      <c r="C105" s="672"/>
      <c r="D105" s="672"/>
      <c r="E105" s="672"/>
      <c r="F105" s="672"/>
      <c r="G105" s="672"/>
      <c r="H105" s="672"/>
      <c r="I105" s="672"/>
      <c r="J105" s="672"/>
      <c r="K105" s="672"/>
      <c r="L105" s="427"/>
    </row>
    <row r="106" spans="1:12" ht="15" customHeight="1">
      <c r="A106" s="427"/>
      <c r="B106" s="673" t="s">
        <v>627</v>
      </c>
      <c r="C106" s="658"/>
      <c r="D106" s="658"/>
      <c r="E106" s="658"/>
      <c r="F106" s="658"/>
      <c r="G106" s="658"/>
      <c r="H106" s="658"/>
      <c r="I106" s="658"/>
      <c r="J106" s="658"/>
      <c r="K106" s="658"/>
      <c r="L106" s="427"/>
    </row>
    <row r="107" spans="1:12" ht="15" customHeight="1">
      <c r="A107" s="427"/>
      <c r="B107" s="473"/>
      <c r="C107" s="481"/>
      <c r="D107" s="481"/>
      <c r="E107" s="440"/>
      <c r="F107" s="450"/>
      <c r="G107" s="440"/>
      <c r="H107" s="440"/>
      <c r="I107" s="440"/>
      <c r="J107" s="462"/>
      <c r="K107" s="473"/>
      <c r="L107" s="427"/>
    </row>
    <row r="108" spans="1:12" ht="15" customHeight="1">
      <c r="A108" s="427"/>
      <c r="B108" s="673" t="s">
        <v>628</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629</v>
      </c>
      <c r="C110" s="665"/>
      <c r="D110" s="665"/>
      <c r="E110" s="665"/>
      <c r="F110" s="665"/>
      <c r="G110" s="665"/>
      <c r="H110" s="665"/>
      <c r="I110" s="665"/>
      <c r="J110" s="665"/>
      <c r="K110" s="665"/>
      <c r="L110" s="427"/>
    </row>
    <row r="111" spans="1:12" ht="15" thickBot="1">
      <c r="A111" s="427"/>
      <c r="B111" s="431"/>
      <c r="C111" s="431"/>
      <c r="D111" s="431"/>
      <c r="E111" s="431"/>
      <c r="F111" s="431"/>
      <c r="G111" s="431"/>
      <c r="H111" s="431"/>
      <c r="I111" s="431"/>
      <c r="J111" s="431"/>
      <c r="K111" s="431"/>
      <c r="L111" s="482"/>
    </row>
    <row r="112" spans="1:12">
      <c r="A112" s="427"/>
      <c r="B112" s="435" t="s">
        <v>579</v>
      </c>
      <c r="C112" s="436"/>
      <c r="D112" s="436"/>
      <c r="E112" s="436"/>
      <c r="F112" s="436"/>
      <c r="G112" s="436"/>
      <c r="H112" s="436"/>
      <c r="I112" s="436"/>
      <c r="J112" s="436"/>
      <c r="K112" s="437"/>
      <c r="L112" s="427"/>
    </row>
    <row r="113" spans="1:12">
      <c r="A113" s="427"/>
      <c r="B113" s="448"/>
      <c r="C113" s="439" t="s">
        <v>587</v>
      </c>
      <c r="D113" s="439"/>
      <c r="E113" s="439"/>
      <c r="F113" s="439"/>
      <c r="G113" s="439"/>
      <c r="H113" s="439"/>
      <c r="I113" s="439"/>
      <c r="J113" s="439"/>
      <c r="K113" s="442"/>
      <c r="L113" s="427"/>
    </row>
    <row r="114" spans="1:12">
      <c r="A114" s="427"/>
      <c r="B114" s="448" t="s">
        <v>612</v>
      </c>
      <c r="C114" s="656">
        <v>133685008</v>
      </c>
      <c r="D114" s="656"/>
      <c r="E114" s="440" t="s">
        <v>586</v>
      </c>
      <c r="F114" s="440">
        <v>1000</v>
      </c>
      <c r="G114" s="440" t="s">
        <v>585</v>
      </c>
      <c r="H114" s="457">
        <f>C114/F114</f>
        <v>133685.008</v>
      </c>
      <c r="I114" s="439" t="s">
        <v>613</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614</v>
      </c>
      <c r="D116" s="439"/>
      <c r="E116" s="440"/>
      <c r="F116" s="439" t="s">
        <v>613</v>
      </c>
      <c r="G116" s="439"/>
      <c r="H116" s="439"/>
      <c r="I116" s="439"/>
      <c r="J116" s="439"/>
      <c r="K116" s="442"/>
      <c r="L116" s="427"/>
    </row>
    <row r="117" spans="1:12">
      <c r="A117" s="427"/>
      <c r="B117" s="448" t="s">
        <v>615</v>
      </c>
      <c r="C117" s="656">
        <v>50000</v>
      </c>
      <c r="D117" s="656"/>
      <c r="E117" s="440" t="s">
        <v>586</v>
      </c>
      <c r="F117" s="457">
        <f>H114</f>
        <v>133685.008</v>
      </c>
      <c r="G117" s="440" t="s">
        <v>585</v>
      </c>
      <c r="H117" s="450">
        <f>C117/F117</f>
        <v>0.37401351690834322</v>
      </c>
      <c r="I117" s="439" t="s">
        <v>616</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626</v>
      </c>
      <c r="D119" s="459"/>
      <c r="E119" s="460"/>
      <c r="F119" s="459"/>
      <c r="G119" s="459"/>
      <c r="H119" s="459"/>
      <c r="I119" s="459"/>
      <c r="J119" s="459"/>
      <c r="K119" s="461"/>
      <c r="L119" s="427"/>
    </row>
    <row r="120" spans="1:12">
      <c r="A120" s="427"/>
      <c r="B120" s="448" t="s">
        <v>618</v>
      </c>
      <c r="C120" s="656">
        <v>2500000</v>
      </c>
      <c r="D120" s="656"/>
      <c r="E120" s="440" t="s">
        <v>28</v>
      </c>
      <c r="F120" s="478">
        <v>0.25</v>
      </c>
      <c r="G120" s="440" t="s">
        <v>585</v>
      </c>
      <c r="H120" s="457">
        <f>C120*F120</f>
        <v>625000</v>
      </c>
      <c r="I120" s="439" t="s">
        <v>619</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620</v>
      </c>
      <c r="D122" s="459"/>
      <c r="E122" s="460"/>
      <c r="F122" s="459" t="s">
        <v>616</v>
      </c>
      <c r="G122" s="459"/>
      <c r="H122" s="459"/>
      <c r="I122" s="459"/>
      <c r="J122" s="459" t="s">
        <v>621</v>
      </c>
      <c r="K122" s="461"/>
      <c r="L122" s="427"/>
    </row>
    <row r="123" spans="1:12">
      <c r="A123" s="427"/>
      <c r="B123" s="448" t="s">
        <v>622</v>
      </c>
      <c r="C123" s="671">
        <f>H120</f>
        <v>625000</v>
      </c>
      <c r="D123" s="671"/>
      <c r="E123" s="440" t="s">
        <v>28</v>
      </c>
      <c r="F123" s="450">
        <f>H117</f>
        <v>0.37401351690834322</v>
      </c>
      <c r="G123" s="440" t="s">
        <v>586</v>
      </c>
      <c r="H123" s="440">
        <v>1000</v>
      </c>
      <c r="I123" s="440" t="s">
        <v>585</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64" t="s">
        <v>575</v>
      </c>
      <c r="C125" s="664"/>
      <c r="D125" s="664"/>
      <c r="E125" s="664"/>
      <c r="F125" s="664"/>
      <c r="G125" s="664"/>
      <c r="H125" s="664"/>
      <c r="I125" s="664"/>
      <c r="J125" s="664"/>
      <c r="K125" s="664"/>
      <c r="L125" s="482"/>
    </row>
    <row r="126" spans="1:12">
      <c r="A126" s="427"/>
      <c r="B126" s="657" t="s">
        <v>630</v>
      </c>
      <c r="C126" s="657"/>
      <c r="D126" s="657"/>
      <c r="E126" s="657"/>
      <c r="F126" s="657"/>
      <c r="G126" s="657"/>
      <c r="H126" s="657"/>
      <c r="I126" s="657"/>
      <c r="J126" s="657"/>
      <c r="K126" s="657"/>
      <c r="L126" s="482"/>
    </row>
    <row r="127" spans="1:12">
      <c r="A127" s="427"/>
      <c r="B127" s="431"/>
      <c r="C127" s="431"/>
      <c r="D127" s="431"/>
      <c r="E127" s="431"/>
      <c r="F127" s="431"/>
      <c r="G127" s="431"/>
      <c r="H127" s="431"/>
      <c r="I127" s="431"/>
      <c r="J127" s="431"/>
      <c r="K127" s="431"/>
      <c r="L127" s="482"/>
    </row>
    <row r="128" spans="1:12">
      <c r="A128" s="427"/>
      <c r="B128" s="657" t="s">
        <v>631</v>
      </c>
      <c r="C128" s="657"/>
      <c r="D128" s="657"/>
      <c r="E128" s="657"/>
      <c r="F128" s="657"/>
      <c r="G128" s="657"/>
      <c r="H128" s="657"/>
      <c r="I128" s="657"/>
      <c r="J128" s="657"/>
      <c r="K128" s="657"/>
      <c r="L128" s="482"/>
    </row>
    <row r="129" spans="1:12">
      <c r="A129" s="427"/>
      <c r="B129" s="468"/>
      <c r="C129" s="468"/>
      <c r="D129" s="468"/>
      <c r="E129" s="468"/>
      <c r="F129" s="468"/>
      <c r="G129" s="468"/>
      <c r="H129" s="468"/>
      <c r="I129" s="468"/>
      <c r="J129" s="468"/>
      <c r="K129" s="468"/>
      <c r="L129" s="482"/>
    </row>
    <row r="130" spans="1:12" ht="74.25" customHeight="1">
      <c r="A130" s="427"/>
      <c r="B130" s="662" t="s">
        <v>632</v>
      </c>
      <c r="C130" s="662"/>
      <c r="D130" s="662"/>
      <c r="E130" s="662"/>
      <c r="F130" s="662"/>
      <c r="G130" s="662"/>
      <c r="H130" s="662"/>
      <c r="I130" s="662"/>
      <c r="J130" s="662"/>
      <c r="K130" s="662"/>
      <c r="L130" s="482"/>
    </row>
    <row r="131" spans="1:12" ht="15" thickBot="1">
      <c r="A131" s="427"/>
      <c r="L131" s="427"/>
    </row>
    <row r="132" spans="1:12">
      <c r="A132" s="427"/>
      <c r="B132" s="435" t="s">
        <v>579</v>
      </c>
      <c r="C132" s="436"/>
      <c r="D132" s="436"/>
      <c r="E132" s="436"/>
      <c r="F132" s="436"/>
      <c r="G132" s="436"/>
      <c r="H132" s="436"/>
      <c r="I132" s="436"/>
      <c r="J132" s="436"/>
      <c r="K132" s="437"/>
      <c r="L132" s="427"/>
    </row>
    <row r="133" spans="1:12">
      <c r="A133" s="427"/>
      <c r="B133" s="448"/>
      <c r="C133" s="679" t="s">
        <v>633</v>
      </c>
      <c r="D133" s="679"/>
      <c r="E133" s="439"/>
      <c r="F133" s="440" t="s">
        <v>634</v>
      </c>
      <c r="G133" s="439"/>
      <c r="H133" s="679" t="s">
        <v>619</v>
      </c>
      <c r="I133" s="679"/>
      <c r="J133" s="439"/>
      <c r="K133" s="442"/>
      <c r="L133" s="427"/>
    </row>
    <row r="134" spans="1:12">
      <c r="A134" s="427"/>
      <c r="B134" s="448" t="s">
        <v>612</v>
      </c>
      <c r="C134" s="656">
        <v>100000</v>
      </c>
      <c r="D134" s="656"/>
      <c r="E134" s="440" t="s">
        <v>28</v>
      </c>
      <c r="F134" s="440">
        <v>0.115</v>
      </c>
      <c r="G134" s="440" t="s">
        <v>585</v>
      </c>
      <c r="H134" s="677">
        <f>C134*F134</f>
        <v>11500</v>
      </c>
      <c r="I134" s="677"/>
      <c r="J134" s="439"/>
      <c r="K134" s="442"/>
      <c r="L134" s="427"/>
    </row>
    <row r="135" spans="1:12">
      <c r="A135" s="427"/>
      <c r="B135" s="448"/>
      <c r="C135" s="439"/>
      <c r="D135" s="439"/>
      <c r="E135" s="439"/>
      <c r="F135" s="439"/>
      <c r="G135" s="439"/>
      <c r="H135" s="439"/>
      <c r="I135" s="439"/>
      <c r="J135" s="439"/>
      <c r="K135" s="442"/>
      <c r="L135" s="427"/>
    </row>
    <row r="136" spans="1:12">
      <c r="A136" s="427"/>
      <c r="B136" s="458"/>
      <c r="C136" s="680" t="s">
        <v>619</v>
      </c>
      <c r="D136" s="680"/>
      <c r="E136" s="459"/>
      <c r="F136" s="460" t="s">
        <v>635</v>
      </c>
      <c r="G136" s="460"/>
      <c r="H136" s="459"/>
      <c r="I136" s="459"/>
      <c r="J136" s="459" t="s">
        <v>636</v>
      </c>
      <c r="K136" s="461"/>
      <c r="L136" s="427"/>
    </row>
    <row r="137" spans="1:12">
      <c r="A137" s="427"/>
      <c r="B137" s="448" t="s">
        <v>615</v>
      </c>
      <c r="C137" s="677">
        <f>H134</f>
        <v>11500</v>
      </c>
      <c r="D137" s="677"/>
      <c r="E137" s="440" t="s">
        <v>28</v>
      </c>
      <c r="F137" s="483">
        <v>52.869</v>
      </c>
      <c r="G137" s="440" t="s">
        <v>586</v>
      </c>
      <c r="H137" s="440">
        <v>1000</v>
      </c>
      <c r="I137" s="440" t="s">
        <v>585</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575</v>
      </c>
      <c r="C139" s="489"/>
      <c r="D139" s="489"/>
      <c r="E139" s="490"/>
      <c r="F139" s="491"/>
      <c r="G139" s="490"/>
      <c r="H139" s="490"/>
      <c r="I139" s="490"/>
      <c r="J139" s="492"/>
      <c r="K139" s="493"/>
      <c r="L139" s="427"/>
    </row>
    <row r="140" spans="1:12">
      <c r="A140" s="427"/>
      <c r="B140" s="494" t="s">
        <v>637</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638</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81" t="s">
        <v>639</v>
      </c>
      <c r="C144" s="682"/>
      <c r="D144" s="682"/>
      <c r="E144" s="682"/>
      <c r="F144" s="682"/>
      <c r="G144" s="682"/>
      <c r="H144" s="682"/>
      <c r="I144" s="682"/>
      <c r="J144" s="682"/>
      <c r="K144" s="683"/>
      <c r="L144" s="427"/>
    </row>
    <row r="145" spans="1:12" ht="15" thickBot="1">
      <c r="A145" s="427"/>
      <c r="B145" s="448"/>
      <c r="C145" s="457"/>
      <c r="D145" s="457"/>
      <c r="E145" s="440"/>
      <c r="F145" s="500"/>
      <c r="G145" s="440"/>
      <c r="H145" s="440"/>
      <c r="I145" s="440"/>
      <c r="J145" s="484"/>
      <c r="K145" s="442"/>
      <c r="L145" s="427"/>
    </row>
    <row r="146" spans="1:12">
      <c r="A146" s="427"/>
      <c r="B146" s="435" t="s">
        <v>579</v>
      </c>
      <c r="C146" s="501"/>
      <c r="D146" s="501"/>
      <c r="E146" s="502"/>
      <c r="F146" s="503"/>
      <c r="G146" s="502"/>
      <c r="H146" s="502"/>
      <c r="I146" s="502"/>
      <c r="J146" s="504"/>
      <c r="K146" s="437"/>
      <c r="L146" s="427"/>
    </row>
    <row r="147" spans="1:12">
      <c r="A147" s="427"/>
      <c r="B147" s="448"/>
      <c r="C147" s="677" t="s">
        <v>640</v>
      </c>
      <c r="D147" s="677"/>
      <c r="E147" s="440"/>
      <c r="F147" s="500" t="s">
        <v>641</v>
      </c>
      <c r="G147" s="440"/>
      <c r="H147" s="440"/>
      <c r="I147" s="440"/>
      <c r="J147" s="684" t="s">
        <v>642</v>
      </c>
      <c r="K147" s="685"/>
      <c r="L147" s="427"/>
    </row>
    <row r="148" spans="1:12">
      <c r="A148" s="427"/>
      <c r="B148" s="448"/>
      <c r="C148" s="676">
        <v>52.869</v>
      </c>
      <c r="D148" s="676"/>
      <c r="E148" s="440" t="s">
        <v>28</v>
      </c>
      <c r="F148" s="505">
        <v>133685008</v>
      </c>
      <c r="G148" s="506" t="s">
        <v>586</v>
      </c>
      <c r="H148" s="440">
        <v>1000</v>
      </c>
      <c r="I148" s="440" t="s">
        <v>585</v>
      </c>
      <c r="J148" s="677">
        <f>C148*(F148/1000)</f>
        <v>7067792.6879519997</v>
      </c>
      <c r="K148" s="67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643</v>
      </c>
    </row>
    <row r="3" spans="1:1" ht="31.5">
      <c r="A3" s="509" t="s">
        <v>644</v>
      </c>
    </row>
    <row r="4" spans="1:1" ht="15.75">
      <c r="A4" s="510" t="s">
        <v>645</v>
      </c>
    </row>
    <row r="7" spans="1:1" ht="31.5">
      <c r="A7" s="509" t="s">
        <v>646</v>
      </c>
    </row>
    <row r="8" spans="1:1" ht="15.75">
      <c r="A8" s="510" t="s">
        <v>647</v>
      </c>
    </row>
    <row r="11" spans="1:1" ht="15.75">
      <c r="A11" s="511" t="s">
        <v>648</v>
      </c>
    </row>
    <row r="12" spans="1:1" ht="15.75">
      <c r="A12" s="510" t="s">
        <v>649</v>
      </c>
    </row>
    <row r="15" spans="1:1" ht="15.75">
      <c r="A15" s="511" t="s">
        <v>650</v>
      </c>
    </row>
    <row r="16" spans="1:1" ht="15.75">
      <c r="A16" s="510" t="s">
        <v>651</v>
      </c>
    </row>
    <row r="19" spans="1:1" ht="15.75">
      <c r="A19" s="511" t="s">
        <v>652</v>
      </c>
    </row>
    <row r="20" spans="1:1" ht="15.75">
      <c r="A20" s="510" t="s">
        <v>653</v>
      </c>
    </row>
    <row r="23" spans="1:1" ht="15.75">
      <c r="A23" s="511" t="s">
        <v>654</v>
      </c>
    </row>
    <row r="24" spans="1:1" ht="15.75">
      <c r="A24" s="510" t="s">
        <v>655</v>
      </c>
    </row>
    <row r="27" spans="1:1" ht="15.75">
      <c r="A27" s="511" t="s">
        <v>656</v>
      </c>
    </row>
    <row r="28" spans="1:1" ht="15.75">
      <c r="A28" s="510" t="s">
        <v>657</v>
      </c>
    </row>
    <row r="31" spans="1:1" ht="15.75">
      <c r="A31" s="511" t="s">
        <v>658</v>
      </c>
    </row>
    <row r="32" spans="1:1" ht="15.75">
      <c r="A32" s="510" t="s">
        <v>659</v>
      </c>
    </row>
    <row r="35" spans="1:1" ht="15.75">
      <c r="A35" s="511" t="s">
        <v>660</v>
      </c>
    </row>
    <row r="36" spans="1:1" ht="15.75">
      <c r="A36" s="510" t="s">
        <v>661</v>
      </c>
    </row>
    <row r="39" spans="1:1" ht="15.75">
      <c r="A39" s="511" t="s">
        <v>662</v>
      </c>
    </row>
    <row r="40" spans="1:1" ht="15.75">
      <c r="A40" s="510" t="s">
        <v>663</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726</v>
      </c>
    </row>
    <row r="2" spans="1:1">
      <c r="A2" s="570" t="s">
        <v>727</v>
      </c>
    </row>
    <row r="3" spans="1:1">
      <c r="A3" s="570" t="s">
        <v>728</v>
      </c>
    </row>
    <row r="5" spans="1:1">
      <c r="A5" s="371" t="s">
        <v>680</v>
      </c>
    </row>
    <row r="6" spans="1:1">
      <c r="A6" s="570" t="s">
        <v>681</v>
      </c>
    </row>
    <row r="7" spans="1:1">
      <c r="A7" s="570" t="s">
        <v>682</v>
      </c>
    </row>
    <row r="8" spans="1:1" ht="31.5">
      <c r="A8" s="571" t="s">
        <v>722</v>
      </c>
    </row>
    <row r="9" spans="1:1">
      <c r="A9" s="570" t="s">
        <v>683</v>
      </c>
    </row>
    <row r="10" spans="1:1">
      <c r="A10" s="570" t="s">
        <v>684</v>
      </c>
    </row>
    <row r="11" spans="1:1">
      <c r="A11" s="570" t="s">
        <v>685</v>
      </c>
    </row>
    <row r="12" spans="1:1">
      <c r="A12" s="570" t="s">
        <v>686</v>
      </c>
    </row>
    <row r="13" spans="1:1">
      <c r="A13" s="570" t="s">
        <v>687</v>
      </c>
    </row>
    <row r="14" spans="1:1">
      <c r="A14" s="570" t="s">
        <v>688</v>
      </c>
    </row>
    <row r="15" spans="1:1">
      <c r="A15" s="570" t="s">
        <v>689</v>
      </c>
    </row>
    <row r="16" spans="1:1">
      <c r="A16" s="570" t="s">
        <v>690</v>
      </c>
    </row>
    <row r="17" spans="1:1">
      <c r="A17" s="570" t="s">
        <v>691</v>
      </c>
    </row>
    <row r="18" spans="1:1">
      <c r="A18" s="570" t="s">
        <v>692</v>
      </c>
    </row>
    <row r="19" spans="1:1">
      <c r="A19" s="570" t="s">
        <v>693</v>
      </c>
    </row>
    <row r="20" spans="1:1">
      <c r="A20" s="570" t="s">
        <v>694</v>
      </c>
    </row>
    <row r="21" spans="1:1">
      <c r="A21" s="570" t="s">
        <v>695</v>
      </c>
    </row>
    <row r="22" spans="1:1">
      <c r="A22" s="570" t="s">
        <v>696</v>
      </c>
    </row>
    <row r="23" spans="1:1">
      <c r="A23" s="570" t="s">
        <v>697</v>
      </c>
    </row>
    <row r="24" spans="1:1">
      <c r="A24" s="570" t="s">
        <v>698</v>
      </c>
    </row>
    <row r="25" spans="1:1">
      <c r="A25" s="570" t="s">
        <v>699</v>
      </c>
    </row>
    <row r="26" spans="1:1">
      <c r="A26" s="570" t="s">
        <v>700</v>
      </c>
    </row>
    <row r="27" spans="1:1">
      <c r="A27" s="570" t="s">
        <v>701</v>
      </c>
    </row>
    <row r="28" spans="1:1">
      <c r="A28" s="570" t="s">
        <v>723</v>
      </c>
    </row>
    <row r="30" spans="1:1">
      <c r="A30" s="371" t="s">
        <v>564</v>
      </c>
    </row>
    <row r="31" spans="1:1">
      <c r="A31" s="92" t="s">
        <v>567</v>
      </c>
    </row>
    <row r="32" spans="1:1">
      <c r="A32" s="92" t="s">
        <v>565</v>
      </c>
    </row>
    <row r="33" spans="1:1">
      <c r="A33" s="92" t="s">
        <v>566</v>
      </c>
    </row>
    <row r="35" spans="1:1">
      <c r="A35" s="384" t="s">
        <v>556</v>
      </c>
    </row>
    <row r="36" spans="1:1">
      <c r="A36" s="92" t="s">
        <v>563</v>
      </c>
    </row>
    <row r="38" spans="1:1">
      <c r="A38" s="371" t="s">
        <v>329</v>
      </c>
    </row>
    <row r="39" spans="1:1">
      <c r="A39" s="372" t="s">
        <v>330</v>
      </c>
    </row>
    <row r="40" spans="1:1">
      <c r="A40" s="372" t="s">
        <v>331</v>
      </c>
    </row>
    <row r="41" spans="1:1">
      <c r="A41" s="372" t="s">
        <v>332</v>
      </c>
    </row>
    <row r="42" spans="1:1">
      <c r="A42" s="92" t="s">
        <v>333</v>
      </c>
    </row>
    <row r="44" spans="1:1">
      <c r="A44" s="330" t="s">
        <v>285</v>
      </c>
    </row>
    <row r="45" spans="1:1">
      <c r="A45" s="92" t="s">
        <v>276</v>
      </c>
    </row>
    <row r="46" spans="1:1">
      <c r="A46" s="92" t="s">
        <v>277</v>
      </c>
    </row>
    <row r="47" spans="1:1">
      <c r="A47" s="92" t="s">
        <v>278</v>
      </c>
    </row>
    <row r="48" spans="1:1">
      <c r="A48" s="92" t="s">
        <v>279</v>
      </c>
    </row>
    <row r="49" spans="1:1">
      <c r="A49" s="92" t="s">
        <v>280</v>
      </c>
    </row>
    <row r="50" spans="1:1">
      <c r="A50" s="92" t="s">
        <v>281</v>
      </c>
    </row>
    <row r="51" spans="1:1">
      <c r="A51" s="92" t="s">
        <v>298</v>
      </c>
    </row>
    <row r="52" spans="1:1">
      <c r="A52" s="92" t="s">
        <v>299</v>
      </c>
    </row>
    <row r="53" spans="1:1">
      <c r="A53" s="92" t="s">
        <v>300</v>
      </c>
    </row>
    <row r="54" spans="1:1">
      <c r="A54" s="92" t="s">
        <v>301</v>
      </c>
    </row>
    <row r="55" spans="1:1">
      <c r="A55" s="92" t="s">
        <v>302</v>
      </c>
    </row>
    <row r="56" spans="1:1">
      <c r="A56" s="92" t="s">
        <v>303</v>
      </c>
    </row>
    <row r="58" spans="1:1">
      <c r="A58" s="330" t="s">
        <v>271</v>
      </c>
    </row>
    <row r="59" spans="1:1">
      <c r="A59" s="92" t="s">
        <v>282</v>
      </c>
    </row>
    <row r="60" spans="1:1">
      <c r="A60" s="92" t="s">
        <v>272</v>
      </c>
    </row>
    <row r="61" spans="1:1">
      <c r="A61" s="92" t="s">
        <v>273</v>
      </c>
    </row>
    <row r="63" spans="1:1">
      <c r="A63" s="330" t="s">
        <v>267</v>
      </c>
    </row>
    <row r="64" spans="1:1">
      <c r="A64" s="92" t="s">
        <v>268</v>
      </c>
    </row>
    <row r="65" spans="1:1">
      <c r="A65" s="92" t="s">
        <v>269</v>
      </c>
    </row>
    <row r="67" spans="1:1">
      <c r="A67" s="330" t="s">
        <v>248</v>
      </c>
    </row>
    <row r="68" spans="1:1">
      <c r="A68" s="92" t="s">
        <v>249</v>
      </c>
    </row>
    <row r="69" spans="1:1" ht="36" customHeight="1">
      <c r="A69" s="331" t="s">
        <v>250</v>
      </c>
    </row>
    <row r="70" spans="1:1">
      <c r="A70" s="92" t="s">
        <v>251</v>
      </c>
    </row>
    <row r="71" spans="1:1" ht="18.75" customHeight="1">
      <c r="A71" s="92" t="s">
        <v>252</v>
      </c>
    </row>
    <row r="72" spans="1:1">
      <c r="A72" s="92" t="s">
        <v>253</v>
      </c>
    </row>
    <row r="73" spans="1:1" ht="24.75" customHeight="1">
      <c r="A73" s="92" t="s">
        <v>254</v>
      </c>
    </row>
    <row r="74" spans="1:1" ht="39" customHeight="1">
      <c r="A74" s="331" t="s">
        <v>255</v>
      </c>
    </row>
    <row r="75" spans="1:1" ht="38.25" customHeight="1">
      <c r="A75" s="331" t="s">
        <v>256</v>
      </c>
    </row>
    <row r="76" spans="1:1" ht="37.5" customHeight="1">
      <c r="A76" s="331" t="s">
        <v>257</v>
      </c>
    </row>
    <row r="77" spans="1:1" ht="21" customHeight="1">
      <c r="A77" s="331" t="s">
        <v>258</v>
      </c>
    </row>
    <row r="78" spans="1:1" ht="35.25" customHeight="1">
      <c r="A78" s="331" t="s">
        <v>259</v>
      </c>
    </row>
    <row r="79" spans="1:1">
      <c r="A79" s="92" t="s">
        <v>260</v>
      </c>
    </row>
    <row r="80" spans="1:1">
      <c r="A80" s="92" t="s">
        <v>261</v>
      </c>
    </row>
    <row r="81" spans="1:1">
      <c r="A81" s="92" t="s">
        <v>262</v>
      </c>
    </row>
    <row r="82" spans="1:1">
      <c r="A82" s="92" t="s">
        <v>263</v>
      </c>
    </row>
    <row r="83" spans="1:1">
      <c r="A83" s="92" t="s">
        <v>264</v>
      </c>
    </row>
    <row r="86" spans="1:1">
      <c r="A86" s="330" t="s">
        <v>171</v>
      </c>
    </row>
    <row r="87" spans="1:1">
      <c r="A87" s="92" t="s">
        <v>180</v>
      </c>
    </row>
    <row r="88" spans="1:1">
      <c r="A88" s="92" t="s">
        <v>181</v>
      </c>
    </row>
    <row r="89" spans="1:1">
      <c r="A89" s="92" t="s">
        <v>182</v>
      </c>
    </row>
    <row r="90" spans="1:1">
      <c r="A90" s="92" t="s">
        <v>195</v>
      </c>
    </row>
    <row r="91" spans="1:1">
      <c r="A91" s="92" t="s">
        <v>183</v>
      </c>
    </row>
    <row r="92" spans="1:1">
      <c r="A92" s="92" t="s">
        <v>184</v>
      </c>
    </row>
    <row r="93" spans="1:1">
      <c r="A93" s="92" t="s">
        <v>185</v>
      </c>
    </row>
    <row r="94" spans="1:1">
      <c r="A94" s="92" t="s">
        <v>186</v>
      </c>
    </row>
    <row r="95" spans="1:1">
      <c r="A95" s="92" t="s">
        <v>196</v>
      </c>
    </row>
    <row r="96" spans="1:1">
      <c r="A96" s="92" t="s">
        <v>187</v>
      </c>
    </row>
    <row r="97" spans="1:1">
      <c r="A97" s="92" t="s">
        <v>188</v>
      </c>
    </row>
    <row r="98" spans="1:1">
      <c r="A98" s="92" t="s">
        <v>189</v>
      </c>
    </row>
    <row r="99" spans="1:1">
      <c r="A99" s="92" t="s">
        <v>197</v>
      </c>
    </row>
    <row r="100" spans="1:1">
      <c r="A100" s="92" t="s">
        <v>198</v>
      </c>
    </row>
    <row r="101" spans="1:1">
      <c r="A101" s="92" t="s">
        <v>204</v>
      </c>
    </row>
    <row r="102" spans="1:1">
      <c r="A102" s="92" t="s">
        <v>283</v>
      </c>
    </row>
    <row r="103" spans="1:1">
      <c r="A103" s="92" t="s">
        <v>0</v>
      </c>
    </row>
    <row r="104" spans="1:1">
      <c r="A104" s="92" t="s">
        <v>1</v>
      </c>
    </row>
    <row r="105" spans="1:1">
      <c r="A105" s="92" t="s">
        <v>2</v>
      </c>
    </row>
    <row r="106" spans="1:1">
      <c r="A106" s="92" t="s">
        <v>284</v>
      </c>
    </row>
    <row r="107" spans="1:1">
      <c r="A107" s="92" t="s">
        <v>213</v>
      </c>
    </row>
    <row r="108" spans="1:1">
      <c r="A108" s="92" t="s">
        <v>214</v>
      </c>
    </row>
    <row r="109" spans="1:1">
      <c r="A109" s="92" t="s">
        <v>3</v>
      </c>
    </row>
    <row r="110" spans="1:1">
      <c r="A110" s="92" t="s">
        <v>4</v>
      </c>
    </row>
    <row r="111" spans="1:1">
      <c r="A111" s="92" t="s">
        <v>222</v>
      </c>
    </row>
    <row r="112" spans="1:1">
      <c r="A112" s="92" t="s">
        <v>223</v>
      </c>
    </row>
    <row r="113" spans="1:1">
      <c r="A113" s="92" t="s">
        <v>228</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19"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S Centropolis Fire</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190</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3319388</v>
      </c>
    </row>
    <row r="8" spans="1:5" ht="15.75">
      <c r="A8" s="62" t="str">
        <f>CONCATENATE("New Improvements for ",inputPrYr!D6-1,"")</f>
        <v>New Improvements for 2013</v>
      </c>
      <c r="B8" s="63"/>
      <c r="C8" s="63"/>
      <c r="D8" s="63"/>
      <c r="E8" s="64">
        <v>16118</v>
      </c>
    </row>
    <row r="9" spans="1:5" ht="15.75">
      <c r="A9" s="62" t="str">
        <f>CONCATENATE("Personal Property excluding oil, gas, and mobile homes- ",inputPrYr!D6-1,"")</f>
        <v>Personal Property excluding oil, gas, and mobile homes- 2013</v>
      </c>
      <c r="B9" s="63"/>
      <c r="C9" s="63"/>
      <c r="D9" s="63"/>
      <c r="E9" s="64">
        <v>45149</v>
      </c>
    </row>
    <row r="10" spans="1:5" ht="15.75">
      <c r="A10" s="62" t="str">
        <f>CONCATENATE("Property that has changed in use for ",inputPrYr!D6-1,"")</f>
        <v>Property that has changed in use for 2013</v>
      </c>
      <c r="B10" s="63"/>
      <c r="C10" s="63"/>
      <c r="D10" s="63"/>
      <c r="E10" s="64">
        <v>7347</v>
      </c>
    </row>
    <row r="11" spans="1:5" ht="15.75">
      <c r="A11" s="61" t="str">
        <f>CONCATENATE("Personal Property excluding oil, gas, and mobile homes- ",inputPrYr!D6-2,"")</f>
        <v>Personal Property excluding oil, gas, and mobile homes- 2012</v>
      </c>
      <c r="B11" s="42"/>
      <c r="C11" s="42"/>
      <c r="D11" s="42"/>
      <c r="E11" s="64">
        <v>48855</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59</v>
      </c>
      <c r="E15" s="68"/>
    </row>
    <row r="16" spans="1:5" ht="15.75">
      <c r="A16" s="61" t="s">
        <v>10</v>
      </c>
      <c r="B16" s="42"/>
      <c r="C16" s="65"/>
      <c r="D16" s="70">
        <v>1.0009999999999999</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200</v>
      </c>
      <c r="C22" s="74"/>
      <c r="D22" s="75">
        <f>SUM(D16:D21)</f>
        <v>1.0009999999999999</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3323560</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567</v>
      </c>
    </row>
    <row r="28" spans="1:5" ht="15.75">
      <c r="A28" s="62" t="s">
        <v>15</v>
      </c>
      <c r="B28" s="63"/>
      <c r="C28" s="63"/>
      <c r="D28" s="80"/>
      <c r="E28" s="37">
        <v>15</v>
      </c>
    </row>
    <row r="29" spans="1:5" ht="15.75">
      <c r="A29" s="62" t="s">
        <v>165</v>
      </c>
      <c r="B29" s="63"/>
      <c r="C29" s="63"/>
      <c r="D29" s="80"/>
      <c r="E29" s="37">
        <v>57</v>
      </c>
    </row>
    <row r="30" spans="1:5" ht="15.75">
      <c r="A30" s="62" t="s">
        <v>153</v>
      </c>
      <c r="B30" s="63"/>
      <c r="C30" s="63"/>
      <c r="D30" s="80"/>
      <c r="E30" s="37"/>
    </row>
    <row r="31" spans="1:5" ht="15.75">
      <c r="A31" s="62" t="s">
        <v>154</v>
      </c>
      <c r="B31" s="63"/>
      <c r="C31" s="63"/>
      <c r="D31" s="80"/>
      <c r="E31" s="37"/>
    </row>
    <row r="32" spans="1:5" ht="15.75">
      <c r="A32" s="61"/>
      <c r="B32" s="42"/>
      <c r="C32" s="42"/>
      <c r="D32" s="79"/>
      <c r="E32" s="37"/>
    </row>
    <row r="33" spans="1:5" ht="15.75">
      <c r="A33" s="18" t="s">
        <v>166</v>
      </c>
      <c r="B33" s="18"/>
      <c r="C33" s="18"/>
      <c r="D33" s="18"/>
      <c r="E33" s="18"/>
    </row>
    <row r="34" spans="1:5" ht="15.75">
      <c r="A34" s="81" t="s">
        <v>109</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201</v>
      </c>
      <c r="B36" s="82"/>
      <c r="C36" s="65"/>
      <c r="D36" s="65"/>
      <c r="E36" s="403"/>
    </row>
    <row r="37" spans="1:5" ht="15.75">
      <c r="A37" s="84" t="s">
        <v>167</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209</v>
      </c>
      <c r="B41" s="88" t="s">
        <v>210</v>
      </c>
      <c r="C41" s="89" t="s">
        <v>211</v>
      </c>
      <c r="D41" s="90"/>
      <c r="E41" s="90"/>
    </row>
    <row r="42" spans="1:5" ht="15.75">
      <c r="A42" s="91" t="str">
        <f>inputPrYr!B19</f>
        <v>General</v>
      </c>
      <c r="B42" s="55">
        <v>21180</v>
      </c>
      <c r="C42" s="89" t="s">
        <v>212</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7" sqref="B7"/>
    </sheetView>
  </sheetViews>
  <sheetFormatPr defaultRowHeight="15"/>
  <cols>
    <col min="1" max="1" width="13.77734375" customWidth="1"/>
    <col min="2" max="2" width="16.109375" customWidth="1"/>
  </cols>
  <sheetData>
    <row r="2" spans="1:6" ht="54" customHeight="1">
      <c r="A2" s="590" t="s">
        <v>318</v>
      </c>
      <c r="B2" s="591"/>
      <c r="C2" s="591"/>
      <c r="D2" s="591"/>
      <c r="E2" s="591"/>
      <c r="F2" s="591"/>
    </row>
    <row r="4" spans="1:6" ht="15.75">
      <c r="A4" s="356"/>
      <c r="B4" s="356"/>
      <c r="C4" s="356"/>
      <c r="D4" s="357"/>
      <c r="E4" s="356"/>
      <c r="F4" s="356"/>
    </row>
    <row r="5" spans="1:6" ht="15.75">
      <c r="A5" s="358" t="s">
        <v>319</v>
      </c>
      <c r="B5" s="359" t="s">
        <v>740</v>
      </c>
      <c r="C5" s="360"/>
      <c r="D5" s="358" t="s">
        <v>725</v>
      </c>
      <c r="E5" s="356"/>
      <c r="F5" s="356"/>
    </row>
    <row r="6" spans="1:6" ht="15.75">
      <c r="A6" s="358"/>
      <c r="B6" s="361"/>
      <c r="C6" s="362"/>
      <c r="D6" s="358" t="s">
        <v>724</v>
      </c>
      <c r="E6" s="356"/>
      <c r="F6" s="356"/>
    </row>
    <row r="7" spans="1:6" ht="15.75">
      <c r="A7" s="358" t="s">
        <v>320</v>
      </c>
      <c r="B7" s="359" t="s">
        <v>735</v>
      </c>
      <c r="C7" s="363"/>
      <c r="D7" s="358"/>
      <c r="E7" s="356"/>
      <c r="F7" s="356"/>
    </row>
    <row r="8" spans="1:6" ht="15.75">
      <c r="A8" s="358"/>
      <c r="B8" s="358"/>
      <c r="C8" s="358"/>
      <c r="D8" s="358"/>
      <c r="E8" s="356"/>
      <c r="F8" s="356"/>
    </row>
    <row r="9" spans="1:6" ht="15.75">
      <c r="A9" s="358" t="s">
        <v>321</v>
      </c>
      <c r="B9" s="364" t="s">
        <v>736</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322</v>
      </c>
      <c r="B12" s="364" t="s">
        <v>730</v>
      </c>
      <c r="C12" s="364"/>
      <c r="D12" s="364"/>
      <c r="E12" s="365"/>
      <c r="F12" s="356"/>
    </row>
    <row r="15" spans="1:6" ht="15.75">
      <c r="A15" s="592" t="s">
        <v>323</v>
      </c>
      <c r="B15" s="592"/>
      <c r="C15" s="358"/>
      <c r="D15" s="358"/>
      <c r="E15" s="358"/>
      <c r="F15" s="356"/>
    </row>
    <row r="16" spans="1:6" ht="15.75">
      <c r="A16" s="358"/>
      <c r="B16" s="358"/>
      <c r="C16" s="358"/>
      <c r="D16" s="358"/>
      <c r="E16" s="358"/>
      <c r="F16" s="356"/>
    </row>
    <row r="17" spans="1:5" ht="15.75">
      <c r="A17" s="358" t="s">
        <v>319</v>
      </c>
      <c r="B17" s="361" t="s">
        <v>324</v>
      </c>
      <c r="C17" s="358"/>
      <c r="D17" s="358"/>
      <c r="E17" s="358"/>
    </row>
    <row r="18" spans="1:5" ht="15.75">
      <c r="A18" s="358"/>
      <c r="B18" s="358"/>
      <c r="C18" s="358"/>
      <c r="D18" s="358"/>
      <c r="E18" s="358"/>
    </row>
    <row r="19" spans="1:5" ht="15.75">
      <c r="A19" s="358" t="s">
        <v>320</v>
      </c>
      <c r="B19" s="358" t="s">
        <v>325</v>
      </c>
      <c r="C19" s="358"/>
      <c r="D19" s="358"/>
      <c r="E19" s="358"/>
    </row>
    <row r="20" spans="1:5" ht="15.75">
      <c r="A20" s="358"/>
      <c r="B20" s="358"/>
      <c r="C20" s="358"/>
      <c r="D20" s="358"/>
      <c r="E20" s="358"/>
    </row>
    <row r="21" spans="1:5" ht="15.75">
      <c r="A21" s="358" t="s">
        <v>321</v>
      </c>
      <c r="B21" s="358" t="s">
        <v>327</v>
      </c>
      <c r="C21" s="358"/>
      <c r="D21" s="358"/>
      <c r="E21" s="358"/>
    </row>
    <row r="22" spans="1:5" ht="15.75">
      <c r="A22" s="358"/>
      <c r="B22" s="358"/>
      <c r="C22" s="358"/>
      <c r="D22" s="358"/>
      <c r="E22" s="358"/>
    </row>
    <row r="23" spans="1:5" ht="15.75">
      <c r="A23" s="358" t="s">
        <v>322</v>
      </c>
      <c r="B23" s="358" t="s">
        <v>326</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7"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77</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150</v>
      </c>
      <c r="B5" s="26"/>
      <c r="C5" s="26"/>
      <c r="D5" s="26"/>
      <c r="E5" s="26"/>
      <c r="F5" s="26"/>
      <c r="G5" s="26"/>
    </row>
    <row r="6" spans="1:8">
      <c r="A6" s="577" t="str">
        <f>inputPrYr!D3</f>
        <v>S Centropolis Fire</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210</v>
      </c>
      <c r="F15" s="601" t="str">
        <f>CONCATENATE("Amount of ",G3-1," Ad Valorem Tax")</f>
        <v>Amount of 2013 Ad Valorem Tax</v>
      </c>
      <c r="G15" s="99" t="s">
        <v>21</v>
      </c>
    </row>
    <row r="16" spans="1:8">
      <c r="A16" s="17" t="s">
        <v>22</v>
      </c>
      <c r="B16" s="18"/>
      <c r="C16" s="18"/>
      <c r="D16" s="101" t="s">
        <v>23</v>
      </c>
      <c r="E16" s="101" t="s">
        <v>568</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206</v>
      </c>
      <c r="B19" s="102"/>
      <c r="C19" s="102"/>
      <c r="D19" s="107">
        <v>3</v>
      </c>
      <c r="E19" s="96"/>
      <c r="F19" s="96"/>
      <c r="G19" s="108"/>
    </row>
    <row r="20" spans="1:7">
      <c r="A20" s="109" t="s">
        <v>142</v>
      </c>
      <c r="B20" s="102"/>
      <c r="C20" s="102"/>
      <c r="D20" s="110">
        <v>4</v>
      </c>
      <c r="E20" s="96"/>
      <c r="F20" s="96"/>
      <c r="G20" s="108"/>
    </row>
    <row r="21" spans="1:7">
      <c r="A21" s="106" t="s">
        <v>141</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80-1546</v>
      </c>
      <c r="D23" s="116">
        <v>6</v>
      </c>
      <c r="E23" s="117">
        <f>IF(gen!$E$50&lt;&gt;0,gen!$E$50,"  ")</f>
        <v>14769</v>
      </c>
      <c r="F23" s="117">
        <f>IF(gen!$E$57&lt;&gt;0,gen!$E$57,"  ")</f>
        <v>3234</v>
      </c>
      <c r="G23" s="118">
        <v>0.97</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132</v>
      </c>
      <c r="B29" s="63"/>
      <c r="C29" s="112"/>
      <c r="D29" s="128" t="s">
        <v>28</v>
      </c>
      <c r="E29" s="404">
        <f>SUM(E23:E27)</f>
        <v>14769</v>
      </c>
      <c r="F29" s="405">
        <f>SUM(F23:F27)</f>
        <v>3234</v>
      </c>
      <c r="G29" s="409">
        <v>0.97</v>
      </c>
    </row>
    <row r="30" spans="1:7">
      <c r="A30" s="115" t="s">
        <v>199</v>
      </c>
      <c r="B30" s="63"/>
      <c r="C30" s="112"/>
      <c r="D30" s="131">
        <f>summ!E25</f>
        <v>7</v>
      </c>
      <c r="E30" s="135" t="s">
        <v>194</v>
      </c>
      <c r="F30" s="408" t="str">
        <f>IF(F29&gt;computation!J34,"Yes","No")</f>
        <v>No</v>
      </c>
      <c r="G30" s="410" t="s">
        <v>133</v>
      </c>
    </row>
    <row r="31" spans="1:7">
      <c r="A31" s="115" t="s">
        <v>217</v>
      </c>
      <c r="B31" s="133"/>
      <c r="C31" s="134"/>
      <c r="D31" s="131" t="str">
        <f>IF(Nhood!C35=0,"",Nhood!C35)</f>
        <v/>
      </c>
      <c r="E31" s="406"/>
      <c r="F31" s="65"/>
      <c r="G31" s="140">
        <v>3334779</v>
      </c>
    </row>
    <row r="32" spans="1:7">
      <c r="A32" s="136" t="s">
        <v>193</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571</v>
      </c>
      <c r="B34" s="65"/>
      <c r="C34" s="65"/>
      <c r="D34" s="65"/>
      <c r="E34" s="132"/>
      <c r="F34" s="65"/>
      <c r="G34" s="18"/>
    </row>
    <row r="35" spans="1:7">
      <c r="A35" s="419" t="s">
        <v>730</v>
      </c>
      <c r="B35" s="419"/>
      <c r="C35" s="65"/>
      <c r="D35" s="65"/>
      <c r="E35" s="139"/>
      <c r="F35" s="65"/>
      <c r="G35" s="18"/>
    </row>
    <row r="36" spans="1:7">
      <c r="A36" s="420"/>
      <c r="B36" s="421"/>
      <c r="C36" s="65"/>
      <c r="D36" s="65"/>
      <c r="E36" s="424"/>
      <c r="F36" s="65"/>
      <c r="G36" s="18"/>
    </row>
    <row r="37" spans="1:7">
      <c r="A37" s="141" t="s">
        <v>572</v>
      </c>
      <c r="B37" s="65"/>
      <c r="C37" s="65"/>
      <c r="D37" s="123"/>
      <c r="E37" s="425"/>
      <c r="F37" s="123"/>
      <c r="G37" s="123"/>
    </row>
    <row r="38" spans="1:7">
      <c r="A38" s="419" t="s">
        <v>731</v>
      </c>
      <c r="B38" s="419"/>
      <c r="C38" s="65"/>
      <c r="D38" s="42"/>
      <c r="E38" s="412"/>
      <c r="F38" s="412"/>
      <c r="G38" s="42"/>
    </row>
    <row r="39" spans="1:7">
      <c r="A39" s="421" t="s">
        <v>732</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191</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35"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6" zoomScale="85" workbookViewId="0">
      <selection activeCell="C55" sqref="C55"/>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S Centropolis Fire</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88</v>
      </c>
    </row>
    <row r="5" spans="1:10" ht="15.75">
      <c r="A5" s="148" t="s">
        <v>89</v>
      </c>
      <c r="B5" s="18" t="str">
        <f>CONCATENATE("Total Tax Levy Amount in ",J1-1," Budget")</f>
        <v>Total Tax Levy Amount in 2013 Budget</v>
      </c>
      <c r="C5" s="18"/>
      <c r="D5" s="18"/>
      <c r="E5" s="39"/>
      <c r="F5" s="39"/>
      <c r="G5" s="39"/>
      <c r="H5" s="149" t="s">
        <v>90</v>
      </c>
      <c r="I5" s="39" t="s">
        <v>91</v>
      </c>
      <c r="J5" s="382">
        <f>inputPrYr!E24</f>
        <v>3325</v>
      </c>
    </row>
    <row r="6" spans="1:10" ht="15.75">
      <c r="A6" s="148" t="s">
        <v>92</v>
      </c>
      <c r="B6" s="18" t="str">
        <f>CONCATENATE("Debt Service Levy in ",J1-1," Budget")</f>
        <v>Debt Service Levy in 2013 Budget</v>
      </c>
      <c r="C6" s="18"/>
      <c r="D6" s="18"/>
      <c r="E6" s="39"/>
      <c r="F6" s="39"/>
      <c r="G6" s="39"/>
      <c r="H6" s="149" t="s">
        <v>93</v>
      </c>
      <c r="I6" s="39" t="s">
        <v>91</v>
      </c>
      <c r="J6" s="150">
        <f>inputPrYr!E20</f>
        <v>0</v>
      </c>
    </row>
    <row r="7" spans="1:10" ht="15.75">
      <c r="A7" s="148" t="s">
        <v>117</v>
      </c>
      <c r="B7" s="27" t="s">
        <v>111</v>
      </c>
      <c r="C7" s="18"/>
      <c r="D7" s="18"/>
      <c r="E7" s="39"/>
      <c r="F7" s="39"/>
      <c r="G7" s="39"/>
      <c r="H7" s="39"/>
      <c r="I7" s="39" t="s">
        <v>91</v>
      </c>
      <c r="J7" s="43">
        <f>J5-J6</f>
        <v>3325</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94</v>
      </c>
      <c r="B11" s="27" t="str">
        <f>CONCATENATE("New Improvements for ",J1-1,":")</f>
        <v>New Improvements for 2013:</v>
      </c>
      <c r="C11" s="18"/>
      <c r="D11" s="18"/>
      <c r="E11" s="149"/>
      <c r="F11" s="149" t="s">
        <v>90</v>
      </c>
      <c r="G11" s="151">
        <f>inputOth!E8</f>
        <v>16118</v>
      </c>
      <c r="H11" s="152"/>
      <c r="I11" s="39"/>
      <c r="J11" s="39"/>
    </row>
    <row r="12" spans="1:10" ht="15.75">
      <c r="A12" s="148"/>
      <c r="B12" s="148"/>
      <c r="C12" s="18"/>
      <c r="D12" s="18"/>
      <c r="E12" s="149"/>
      <c r="F12" s="149"/>
      <c r="G12" s="152"/>
      <c r="H12" s="152"/>
      <c r="I12" s="39"/>
      <c r="J12" s="39"/>
    </row>
    <row r="13" spans="1:10" ht="15.75">
      <c r="A13" s="148" t="s">
        <v>95</v>
      </c>
      <c r="B13" s="27" t="str">
        <f>CONCATENATE("Increase in Personal Property for ",J1-1,":")</f>
        <v>Increase in Personal Property for 2013:</v>
      </c>
      <c r="C13" s="18"/>
      <c r="D13" s="18"/>
      <c r="E13" s="149"/>
      <c r="F13" s="149"/>
      <c r="G13" s="152"/>
      <c r="H13" s="152"/>
      <c r="I13" s="39"/>
      <c r="J13" s="39"/>
    </row>
    <row r="14" spans="1:10" ht="15.75">
      <c r="A14" s="18"/>
      <c r="B14" s="18" t="s">
        <v>96</v>
      </c>
      <c r="C14" s="18" t="str">
        <f>CONCATENATE("Personal Property ",J1-1,"")</f>
        <v>Personal Property 2013</v>
      </c>
      <c r="D14" s="148" t="s">
        <v>90</v>
      </c>
      <c r="E14" s="151">
        <f>inputOth!E9</f>
        <v>45149</v>
      </c>
      <c r="F14" s="149"/>
      <c r="G14" s="39"/>
      <c r="H14" s="39"/>
      <c r="I14" s="152"/>
      <c r="J14" s="39"/>
    </row>
    <row r="15" spans="1:10" ht="15.75">
      <c r="A15" s="148"/>
      <c r="B15" s="18" t="s">
        <v>97</v>
      </c>
      <c r="C15" s="18" t="str">
        <f>CONCATENATE("Personal Property ",J1-2,"")</f>
        <v>Personal Property 2012</v>
      </c>
      <c r="D15" s="148" t="s">
        <v>93</v>
      </c>
      <c r="E15" s="43">
        <f>inputOth!E11</f>
        <v>48855</v>
      </c>
      <c r="F15" s="149"/>
      <c r="G15" s="152"/>
      <c r="H15" s="152"/>
      <c r="I15" s="39"/>
      <c r="J15" s="39"/>
    </row>
    <row r="16" spans="1:10" ht="15.75">
      <c r="A16" s="148"/>
      <c r="B16" s="18" t="s">
        <v>98</v>
      </c>
      <c r="C16" s="18" t="s">
        <v>112</v>
      </c>
      <c r="D16" s="18"/>
      <c r="E16" s="39"/>
      <c r="F16" s="39" t="s">
        <v>90</v>
      </c>
      <c r="G16" s="151">
        <f>IF(E14&gt;E15,E14-E15,0)</f>
        <v>0</v>
      </c>
      <c r="H16" s="152"/>
      <c r="I16" s="39"/>
      <c r="J16" s="39"/>
    </row>
    <row r="17" spans="1:10" ht="15.75">
      <c r="A17" s="148"/>
      <c r="B17" s="148"/>
      <c r="C17" s="18"/>
      <c r="D17" s="18"/>
      <c r="E17" s="39"/>
      <c r="F17" s="39"/>
      <c r="G17" s="152" t="s">
        <v>106</v>
      </c>
      <c r="H17" s="152"/>
      <c r="I17" s="39"/>
      <c r="J17" s="39"/>
    </row>
    <row r="18" spans="1:10" ht="15.75">
      <c r="A18" s="148" t="s">
        <v>99</v>
      </c>
      <c r="B18" s="27" t="str">
        <f>CONCATENATE("Valuation of Property that has Changed in Use during ",J1-1,":")</f>
        <v>Valuation of Property that has Changed in Use during 2013:</v>
      </c>
      <c r="C18" s="18"/>
      <c r="D18" s="148"/>
      <c r="E18" s="39"/>
      <c r="F18" s="39"/>
      <c r="G18" s="39">
        <f>inputOth!E10</f>
        <v>7347</v>
      </c>
      <c r="H18" s="39"/>
      <c r="I18" s="39"/>
      <c r="J18" s="39"/>
    </row>
    <row r="19" spans="1:10" ht="15.75">
      <c r="A19" s="18" t="s">
        <v>18</v>
      </c>
      <c r="B19" s="18"/>
      <c r="C19" s="18"/>
      <c r="D19" s="18"/>
      <c r="E19" s="152"/>
      <c r="F19" s="39"/>
      <c r="G19" s="153"/>
      <c r="H19" s="152"/>
      <c r="I19" s="39"/>
      <c r="J19" s="39"/>
    </row>
    <row r="20" spans="1:10" ht="15.75">
      <c r="A20" s="148" t="s">
        <v>100</v>
      </c>
      <c r="B20" s="27" t="s">
        <v>113</v>
      </c>
      <c r="C20" s="18"/>
      <c r="D20" s="148"/>
      <c r="E20" s="39"/>
      <c r="F20" s="39"/>
      <c r="G20" s="151">
        <f>G11+G16+G18</f>
        <v>23465</v>
      </c>
      <c r="H20" s="152"/>
      <c r="I20" s="39"/>
      <c r="J20" s="39"/>
    </row>
    <row r="21" spans="1:10" ht="15.75">
      <c r="A21" s="148"/>
      <c r="B21" s="148"/>
      <c r="C21" s="27"/>
      <c r="D21" s="18"/>
      <c r="E21" s="39"/>
      <c r="F21" s="39"/>
      <c r="G21" s="152"/>
      <c r="H21" s="152"/>
      <c r="I21" s="39"/>
      <c r="J21" s="39"/>
    </row>
    <row r="22" spans="1:10" ht="15.75">
      <c r="A22" s="148" t="s">
        <v>101</v>
      </c>
      <c r="B22" s="18" t="str">
        <f>CONCATENATE("Total Estimated Valuation July, 1,",J1-1,"")</f>
        <v>Total Estimated Valuation July, 1,2013</v>
      </c>
      <c r="C22" s="18"/>
      <c r="D22" s="18"/>
      <c r="E22" s="151">
        <f>inputOth!E7</f>
        <v>3319388</v>
      </c>
      <c r="F22" s="39"/>
      <c r="G22" s="39"/>
      <c r="H22" s="39"/>
      <c r="I22" s="149"/>
      <c r="J22" s="39"/>
    </row>
    <row r="23" spans="1:10" ht="15.75">
      <c r="A23" s="148"/>
      <c r="B23" s="148"/>
      <c r="C23" s="18"/>
      <c r="D23" s="18"/>
      <c r="E23" s="152"/>
      <c r="F23" s="39"/>
      <c r="G23" s="39"/>
      <c r="H23" s="39"/>
      <c r="I23" s="149"/>
      <c r="J23" s="39"/>
    </row>
    <row r="24" spans="1:10" ht="15.75">
      <c r="A24" s="148" t="s">
        <v>102</v>
      </c>
      <c r="B24" s="27" t="s">
        <v>114</v>
      </c>
      <c r="C24" s="18"/>
      <c r="D24" s="18"/>
      <c r="E24" s="39"/>
      <c r="F24" s="39"/>
      <c r="G24" s="151">
        <f>E22-G20</f>
        <v>3295923</v>
      </c>
      <c r="H24" s="152"/>
      <c r="I24" s="149"/>
      <c r="J24" s="39"/>
    </row>
    <row r="25" spans="1:10" ht="15.75">
      <c r="A25" s="148"/>
      <c r="B25" s="148"/>
      <c r="C25" s="27"/>
      <c r="D25" s="18"/>
      <c r="E25" s="39"/>
      <c r="F25" s="39"/>
      <c r="G25" s="153"/>
      <c r="H25" s="152"/>
      <c r="I25" s="149"/>
      <c r="J25" s="39"/>
    </row>
    <row r="26" spans="1:10" ht="15.75">
      <c r="A26" s="148" t="s">
        <v>103</v>
      </c>
      <c r="B26" s="18" t="s">
        <v>115</v>
      </c>
      <c r="C26" s="18"/>
      <c r="D26" s="18"/>
      <c r="E26" s="18"/>
      <c r="F26" s="18"/>
      <c r="G26" s="154">
        <f>IF(G20&gt;0,G20/G24,0)</f>
        <v>7.1194017578687365E-3</v>
      </c>
      <c r="H26" s="65"/>
      <c r="I26" s="18"/>
      <c r="J26" s="18"/>
    </row>
    <row r="27" spans="1:10" ht="15.75">
      <c r="A27" s="148"/>
      <c r="B27" s="148"/>
      <c r="C27" s="18"/>
      <c r="D27" s="18"/>
      <c r="E27" s="18"/>
      <c r="F27" s="18"/>
      <c r="G27" s="65"/>
      <c r="H27" s="65"/>
      <c r="I27" s="18"/>
      <c r="J27" s="18"/>
    </row>
    <row r="28" spans="1:10" ht="15.75">
      <c r="A28" s="148" t="s">
        <v>104</v>
      </c>
      <c r="B28" s="18" t="s">
        <v>116</v>
      </c>
      <c r="C28" s="18"/>
      <c r="D28" s="18"/>
      <c r="E28" s="18"/>
      <c r="F28" s="18"/>
      <c r="G28" s="65"/>
      <c r="H28" s="155" t="s">
        <v>90</v>
      </c>
      <c r="I28" s="18" t="s">
        <v>91</v>
      </c>
      <c r="J28" s="151">
        <f>ROUND(G26*J7,0)</f>
        <v>24</v>
      </c>
    </row>
    <row r="29" spans="1:10" ht="15.75">
      <c r="A29" s="148"/>
      <c r="B29" s="148"/>
      <c r="C29" s="18"/>
      <c r="D29" s="18"/>
      <c r="E29" s="18"/>
      <c r="F29" s="18"/>
      <c r="G29" s="65"/>
      <c r="H29" s="155"/>
      <c r="I29" s="18"/>
      <c r="J29" s="152"/>
    </row>
    <row r="30" spans="1:10" ht="16.5" thickBot="1">
      <c r="A30" s="148" t="s">
        <v>105</v>
      </c>
      <c r="B30" s="27" t="s">
        <v>121</v>
      </c>
      <c r="C30" s="18"/>
      <c r="D30" s="18"/>
      <c r="E30" s="18"/>
      <c r="F30" s="18"/>
      <c r="G30" s="18"/>
      <c r="H30" s="18"/>
      <c r="I30" s="18" t="s">
        <v>91</v>
      </c>
      <c r="J30" s="156">
        <f>J7+J28</f>
        <v>3349</v>
      </c>
    </row>
    <row r="31" spans="1:10" ht="16.5" thickTop="1">
      <c r="A31" s="148"/>
      <c r="B31" s="27"/>
      <c r="C31" s="18"/>
      <c r="D31" s="18"/>
      <c r="E31" s="18"/>
      <c r="F31" s="18"/>
      <c r="G31" s="18"/>
      <c r="H31" s="18"/>
      <c r="I31" s="18"/>
      <c r="J31" s="18"/>
    </row>
    <row r="32" spans="1:10" ht="15.75">
      <c r="A32" s="148" t="s">
        <v>119</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120</v>
      </c>
      <c r="B34" s="27" t="s">
        <v>122</v>
      </c>
      <c r="C34" s="18"/>
      <c r="D34" s="18"/>
      <c r="E34" s="18"/>
      <c r="F34" s="18"/>
      <c r="G34" s="18"/>
      <c r="H34" s="18"/>
      <c r="I34" s="18"/>
      <c r="J34" s="156">
        <f>J30+J32</f>
        <v>3349</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118</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S Centropolis Fire</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227</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85</v>
      </c>
      <c r="G10" s="107" t="s">
        <v>154</v>
      </c>
      <c r="H10" s="18"/>
      <c r="I10" s="18"/>
      <c r="J10" s="18"/>
    </row>
    <row r="11" spans="1:10">
      <c r="A11" s="18"/>
      <c r="B11" s="38" t="str">
        <f>inputPrYr!B19</f>
        <v>General</v>
      </c>
      <c r="C11" s="121">
        <f>inputPrYr!E19</f>
        <v>3325</v>
      </c>
      <c r="D11" s="121">
        <f>IF(E17=0,0,E17-D12-D13-D14)</f>
        <v>567</v>
      </c>
      <c r="E11" s="121">
        <f>IF(E19=0,0,E19-E12-E13-E14)</f>
        <v>15</v>
      </c>
      <c r="F11" s="121">
        <f>IF(E21=0,0,E21-F12-F13-F14)</f>
        <v>57</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3325</v>
      </c>
      <c r="D15" s="130">
        <f>SUM(D11:D14)</f>
        <v>567</v>
      </c>
      <c r="E15" s="130">
        <f>SUM(E11:E14)</f>
        <v>15</v>
      </c>
      <c r="F15" s="130">
        <f>SUM(F11:F14)</f>
        <v>57</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567</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15</v>
      </c>
      <c r="F19" s="18"/>
      <c r="G19" s="18"/>
      <c r="H19" s="18"/>
      <c r="I19" s="18"/>
      <c r="J19" s="18"/>
    </row>
    <row r="20" spans="1:10">
      <c r="A20" s="18"/>
      <c r="B20" s="18"/>
      <c r="C20" s="18"/>
      <c r="D20" s="18"/>
      <c r="E20" s="18"/>
      <c r="F20" s="18"/>
      <c r="G20" s="18"/>
      <c r="H20" s="18"/>
      <c r="I20" s="18"/>
      <c r="J20" s="18"/>
    </row>
    <row r="21" spans="1:10">
      <c r="A21" s="18"/>
      <c r="B21" s="17" t="s">
        <v>86</v>
      </c>
      <c r="C21" s="18"/>
      <c r="D21" s="18"/>
      <c r="E21" s="162">
        <f>inputOth!E29</f>
        <v>57</v>
      </c>
      <c r="F21" s="18"/>
      <c r="G21" s="18"/>
      <c r="H21" s="18"/>
      <c r="I21" s="18"/>
      <c r="J21" s="18"/>
    </row>
    <row r="22" spans="1:10">
      <c r="A22" s="18"/>
      <c r="B22" s="18"/>
      <c r="C22" s="18"/>
      <c r="D22" s="18"/>
      <c r="E22" s="18"/>
      <c r="F22" s="18"/>
      <c r="G22" s="18"/>
      <c r="H22" s="18"/>
      <c r="I22" s="18"/>
      <c r="J22" s="18"/>
    </row>
    <row r="23" spans="1:10">
      <c r="A23" s="18"/>
      <c r="B23" s="18" t="s">
        <v>207</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0.17052631578947369</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4.5112781954887221E-3</v>
      </c>
      <c r="E27" s="18"/>
      <c r="F27" s="18"/>
      <c r="G27" s="18"/>
      <c r="H27" s="18"/>
      <c r="I27" s="18"/>
      <c r="J27" s="18"/>
    </row>
    <row r="28" spans="1:10">
      <c r="A28" s="18"/>
      <c r="B28" s="18"/>
      <c r="C28" s="17"/>
      <c r="D28" s="166"/>
      <c r="E28" s="18"/>
      <c r="F28" s="18"/>
      <c r="G28" s="18"/>
      <c r="H28" s="18"/>
      <c r="I28" s="18"/>
      <c r="J28" s="18"/>
    </row>
    <row r="29" spans="1:10">
      <c r="A29" s="18"/>
      <c r="B29" s="18"/>
      <c r="C29" s="18"/>
      <c r="D29" s="138" t="s">
        <v>87</v>
      </c>
      <c r="E29" s="165">
        <f>IF(C15=0,0,E21/C15)</f>
        <v>1.7142857142857144E-2</v>
      </c>
      <c r="F29" s="18"/>
      <c r="G29" s="18"/>
      <c r="H29" s="18"/>
      <c r="I29" s="18"/>
      <c r="J29" s="18"/>
    </row>
    <row r="30" spans="1:10">
      <c r="A30" s="18"/>
      <c r="B30" s="18"/>
      <c r="C30" s="18"/>
      <c r="D30" s="18"/>
      <c r="E30" s="18"/>
      <c r="F30" s="18"/>
      <c r="G30" s="18"/>
      <c r="H30" s="18"/>
      <c r="I30" s="18"/>
      <c r="J30" s="18"/>
    </row>
    <row r="31" spans="1:10">
      <c r="A31" s="18"/>
      <c r="B31" s="18"/>
      <c r="C31" s="54"/>
      <c r="D31" s="54"/>
      <c r="E31" s="54" t="s">
        <v>208</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S Centropolis Fire</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142</v>
      </c>
      <c r="B5" s="596"/>
      <c r="C5" s="596"/>
      <c r="D5" s="596"/>
      <c r="E5" s="596"/>
      <c r="F5" s="596"/>
    </row>
    <row r="6" spans="1:6" ht="14.25" customHeight="1">
      <c r="A6" s="93"/>
      <c r="B6" s="169"/>
      <c r="C6" s="169"/>
      <c r="D6" s="169"/>
      <c r="E6" s="169"/>
      <c r="F6" s="169"/>
    </row>
    <row r="7" spans="1:6" ht="17.25" customHeight="1">
      <c r="A7" s="170" t="s">
        <v>24</v>
      </c>
      <c r="B7" s="170" t="s">
        <v>559</v>
      </c>
      <c r="C7" s="170" t="s">
        <v>51</v>
      </c>
      <c r="D7" s="170" t="s">
        <v>143</v>
      </c>
      <c r="E7" s="170" t="s">
        <v>144</v>
      </c>
      <c r="F7" s="170" t="s">
        <v>155</v>
      </c>
    </row>
    <row r="8" spans="1:6" ht="17.25" customHeight="1">
      <c r="A8" s="171" t="s">
        <v>560</v>
      </c>
      <c r="B8" s="171" t="s">
        <v>561</v>
      </c>
      <c r="C8" s="171" t="s">
        <v>156</v>
      </c>
      <c r="D8" s="171" t="s">
        <v>156</v>
      </c>
      <c r="E8" s="171" t="s">
        <v>156</v>
      </c>
      <c r="F8" s="171" t="s">
        <v>157</v>
      </c>
    </row>
    <row r="9" spans="1:6" s="174" customFormat="1" ht="18" customHeight="1">
      <c r="A9" s="172" t="s">
        <v>158</v>
      </c>
      <c r="B9" s="172" t="s">
        <v>159</v>
      </c>
      <c r="C9" s="173">
        <f>F1-2</f>
        <v>2012</v>
      </c>
      <c r="D9" s="173">
        <f>F1-1</f>
        <v>2013</v>
      </c>
      <c r="E9" s="173">
        <f>F1</f>
        <v>2014</v>
      </c>
      <c r="F9" s="172" t="s">
        <v>160</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132</v>
      </c>
      <c r="C24" s="179">
        <f>SUM(C10:C23)</f>
        <v>0</v>
      </c>
      <c r="D24" s="179">
        <f>SUM(D10:D23)</f>
        <v>0</v>
      </c>
      <c r="E24" s="179">
        <f>SUM(E10:E23)</f>
        <v>0</v>
      </c>
      <c r="F24" s="180"/>
      <c r="G24" s="57"/>
    </row>
    <row r="25" spans="1:7">
      <c r="A25" s="32"/>
      <c r="B25" s="181" t="s">
        <v>558</v>
      </c>
      <c r="C25" s="182"/>
      <c r="D25" s="183"/>
      <c r="E25" s="183"/>
      <c r="F25" s="180"/>
      <c r="G25" s="57"/>
    </row>
    <row r="26" spans="1:7">
      <c r="A26" s="32"/>
      <c r="B26" s="178" t="s">
        <v>161</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562</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2013-07-25T18:54:16Z</cp:lastPrinted>
  <dcterms:created xsi:type="dcterms:W3CDTF">1999-08-06T13:59:57Z</dcterms:created>
  <dcterms:modified xsi:type="dcterms:W3CDTF">2013-11-07T19:54:02Z</dcterms:modified>
</cp:coreProperties>
</file>